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tabRatio="605" activeTab="0"/>
  </bookViews>
  <sheets>
    <sheet name="Deficit" sheetId="1" r:id="rId1"/>
    <sheet name="Adósság" sheetId="2" r:id="rId2"/>
  </sheets>
  <definedNames>
    <definedName name="_xlfn.STDEV.P" hidden="1">#NAME?</definedName>
    <definedName name="_xlnm.Print_Area" localSheetId="1">'Adósság'!$A$1:$AA$38</definedName>
    <definedName name="_xlnm.Print_Area" localSheetId="0">'Deficit'!$A$1:$AA$38</definedName>
  </definedNames>
  <calcPr fullCalcOnLoad="1"/>
</workbook>
</file>

<file path=xl/sharedStrings.xml><?xml version="1.0" encoding="utf-8"?>
<sst xmlns="http://schemas.openxmlformats.org/spreadsheetml/2006/main" count="178" uniqueCount="48">
  <si>
    <t>Belgium</t>
  </si>
  <si>
    <t>Dánia</t>
  </si>
  <si>
    <t>Németország</t>
  </si>
  <si>
    <t>Görögország</t>
  </si>
  <si>
    <t>Spanyolország</t>
  </si>
  <si>
    <t>Franciaország</t>
  </si>
  <si>
    <t>Írország</t>
  </si>
  <si>
    <t>Olaszország</t>
  </si>
  <si>
    <t>Hollandia</t>
  </si>
  <si>
    <t>Ausztria</t>
  </si>
  <si>
    <t>Portugália</t>
  </si>
  <si>
    <t>Finnország</t>
  </si>
  <si>
    <t>Svédország</t>
  </si>
  <si>
    <t>Adat-
közlés</t>
  </si>
  <si>
    <t>Bulgária</t>
  </si>
  <si>
    <t>Észtország</t>
  </si>
  <si>
    <t>Magyarország</t>
  </si>
  <si>
    <t>Litvánia</t>
  </si>
  <si>
    <t>Lettország</t>
  </si>
  <si>
    <t>Málta</t>
  </si>
  <si>
    <t>Lengyelország</t>
  </si>
  <si>
    <t>Románia</t>
  </si>
  <si>
    <t>Szlovákia</t>
  </si>
  <si>
    <t>Szlovénia</t>
  </si>
  <si>
    <t xml:space="preserve">Forrás: Eurostat, </t>
  </si>
  <si>
    <t>Ciprus</t>
  </si>
  <si>
    <t>Csehország</t>
  </si>
  <si>
    <t>Luxemburg</t>
  </si>
  <si>
    <t>Forrás: Eurostat</t>
  </si>
  <si>
    <t>EURO-zóna</t>
  </si>
  <si>
    <t>n.a</t>
  </si>
  <si>
    <t>Egyesült Királyság*</t>
  </si>
  <si>
    <t>Mószertani kategória: Nettó hitelfelvétel/kölcsönnyújtás  (kód: B9n(EDP))</t>
  </si>
  <si>
    <t xml:space="preserve">Módszertani kategória: maastrichti adósság névértéken </t>
  </si>
  <si>
    <t>Megjegyzés: az Eurostat a tárgyévi várható adatokra nem kalkulál EU-aggregátumokat.</t>
  </si>
  <si>
    <t>2013 ápr.</t>
  </si>
  <si>
    <t>* Naptári évre átszámolt adatok</t>
  </si>
  <si>
    <t>2013 okt.</t>
  </si>
  <si>
    <t>EU-28</t>
  </si>
  <si>
    <t>Horvátország</t>
  </si>
  <si>
    <t>2014 ápr.</t>
  </si>
  <si>
    <t>2014 okt.</t>
  </si>
  <si>
    <t>A 2014. áprilisig történő adatközlések ESA95, a 2014. októberétől kezdődőek ESA2010 módszertan szerint készültek.</t>
  </si>
  <si>
    <t>2015 ápr.</t>
  </si>
  <si>
    <t>2015 okt.</t>
  </si>
  <si>
    <t>2016 ápr.</t>
  </si>
  <si>
    <t>2016 okt.</t>
  </si>
  <si>
    <t>2017 ápr.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</si>
</sst>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%"/>
    <numFmt numFmtId="168" formatCode="#,##0.0"/>
  </numFmts>
  <fonts count="5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 CE"/>
      <family val="0"/>
    </font>
    <font>
      <b/>
      <sz val="10"/>
      <color indexed="60"/>
      <name val="Arial CE"/>
      <family val="0"/>
    </font>
    <font>
      <b/>
      <sz val="10"/>
      <color indexed="49"/>
      <name val="Arial CE"/>
      <family val="0"/>
    </font>
    <font>
      <b/>
      <sz val="10"/>
      <color indexed="23"/>
      <name val="Arial CE"/>
      <family val="0"/>
    </font>
    <font>
      <b/>
      <sz val="10"/>
      <color indexed="10"/>
      <name val="Arial CE"/>
      <family val="0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 CE"/>
      <family val="0"/>
    </font>
    <font>
      <b/>
      <sz val="10"/>
      <color theme="5" tint="-0.24997000396251678"/>
      <name val="Arial CE"/>
      <family val="0"/>
    </font>
    <font>
      <b/>
      <sz val="10"/>
      <color theme="8" tint="-0.24997000396251678"/>
      <name val="Arial CE"/>
      <family val="0"/>
    </font>
    <font>
      <b/>
      <sz val="10"/>
      <color theme="0" tint="-0.4999699890613556"/>
      <name val="Arial CE"/>
      <family val="0"/>
    </font>
    <font>
      <b/>
      <sz val="10"/>
      <color rgb="FFFF0000"/>
      <name val="Arial CE"/>
      <family val="0"/>
    </font>
    <font>
      <b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33" borderId="11" xfId="0" applyFill="1" applyBorder="1" applyAlignment="1">
      <alignment/>
    </xf>
    <xf numFmtId="0" fontId="4" fillId="0" borderId="15" xfId="0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5" fillId="0" borderId="11" xfId="0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/>
    </xf>
    <xf numFmtId="164" fontId="45" fillId="0" borderId="16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0" fontId="0" fillId="33" borderId="18" xfId="0" applyFill="1" applyBorder="1" applyAlignment="1">
      <alignment/>
    </xf>
    <xf numFmtId="164" fontId="45" fillId="0" borderId="19" xfId="0" applyNumberFormat="1" applyFont="1" applyBorder="1" applyAlignment="1">
      <alignment/>
    </xf>
    <xf numFmtId="0" fontId="45" fillId="0" borderId="20" xfId="0" applyFont="1" applyFill="1" applyBorder="1" applyAlignment="1">
      <alignment horizontal="center" wrapText="1"/>
    </xf>
    <xf numFmtId="0" fontId="46" fillId="0" borderId="21" xfId="0" applyFont="1" applyFill="1" applyBorder="1" applyAlignment="1">
      <alignment horizontal="center" wrapText="1"/>
    </xf>
    <xf numFmtId="164" fontId="46" fillId="0" borderId="16" xfId="0" applyNumberFormat="1" applyFont="1" applyBorder="1" applyAlignment="1">
      <alignment/>
    </xf>
    <xf numFmtId="164" fontId="46" fillId="0" borderId="17" xfId="0" applyNumberFormat="1" applyFont="1" applyBorder="1" applyAlignment="1">
      <alignment/>
    </xf>
    <xf numFmtId="0" fontId="46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7" fillId="0" borderId="20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47" fillId="0" borderId="16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3" xfId="0" applyNumberFormat="1" applyFont="1" applyBorder="1" applyAlignment="1">
      <alignment/>
    </xf>
    <xf numFmtId="0" fontId="47" fillId="0" borderId="11" xfId="0" applyFont="1" applyFill="1" applyBorder="1" applyAlignment="1">
      <alignment horizontal="center" wrapText="1"/>
    </xf>
    <xf numFmtId="164" fontId="47" fillId="0" borderId="17" xfId="0" applyNumberFormat="1" applyFont="1" applyBorder="1" applyAlignment="1">
      <alignment/>
    </xf>
    <xf numFmtId="164" fontId="47" fillId="0" borderId="0" xfId="0" applyNumberFormat="1" applyFont="1" applyFill="1" applyBorder="1" applyAlignment="1">
      <alignment/>
    </xf>
    <xf numFmtId="164" fontId="47" fillId="0" borderId="19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5" fillId="0" borderId="0" xfId="0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164" fontId="48" fillId="0" borderId="16" xfId="0" applyNumberFormat="1" applyFont="1" applyBorder="1" applyAlignment="1">
      <alignment/>
    </xf>
    <xf numFmtId="164" fontId="46" fillId="0" borderId="19" xfId="0" applyNumberFormat="1" applyFont="1" applyBorder="1" applyAlignment="1">
      <alignment/>
    </xf>
    <xf numFmtId="164" fontId="45" fillId="0" borderId="23" xfId="0" applyNumberFormat="1" applyFont="1" applyBorder="1" applyAlignment="1">
      <alignment horizontal="center"/>
    </xf>
    <xf numFmtId="164" fontId="46" fillId="0" borderId="23" xfId="0" applyNumberFormat="1" applyFont="1" applyBorder="1" applyAlignment="1">
      <alignment/>
    </xf>
    <xf numFmtId="164" fontId="46" fillId="0" borderId="23" xfId="0" applyNumberFormat="1" applyFont="1" applyBorder="1" applyAlignment="1">
      <alignment horizontal="center"/>
    </xf>
    <xf numFmtId="0" fontId="49" fillId="0" borderId="24" xfId="0" applyFont="1" applyFill="1" applyBorder="1" applyAlignment="1">
      <alignment horizontal="center" wrapText="1"/>
    </xf>
    <xf numFmtId="0" fontId="49" fillId="0" borderId="20" xfId="0" applyFont="1" applyFill="1" applyBorder="1" applyAlignment="1">
      <alignment horizontal="center" wrapText="1"/>
    </xf>
    <xf numFmtId="164" fontId="49" fillId="0" borderId="0" xfId="0" applyNumberFormat="1" applyFont="1" applyBorder="1" applyAlignment="1">
      <alignment/>
    </xf>
    <xf numFmtId="164" fontId="49" fillId="0" borderId="16" xfId="0" applyNumberFormat="1" applyFont="1" applyBorder="1" applyAlignment="1">
      <alignment/>
    </xf>
    <xf numFmtId="164" fontId="49" fillId="0" borderId="19" xfId="0" applyNumberFormat="1" applyFont="1" applyBorder="1" applyAlignment="1">
      <alignment/>
    </xf>
    <xf numFmtId="164" fontId="49" fillId="0" borderId="23" xfId="0" applyNumberFormat="1" applyFont="1" applyBorder="1" applyAlignment="1">
      <alignment/>
    </xf>
    <xf numFmtId="164" fontId="49" fillId="0" borderId="16" xfId="0" applyNumberFormat="1" applyFont="1" applyFill="1" applyBorder="1" applyAlignment="1">
      <alignment/>
    </xf>
    <xf numFmtId="164" fontId="49" fillId="0" borderId="2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9" fillId="0" borderId="17" xfId="0" applyNumberFormat="1" applyFont="1" applyBorder="1" applyAlignment="1">
      <alignment/>
    </xf>
    <xf numFmtId="0" fontId="50" fillId="0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164" fontId="50" fillId="0" borderId="26" xfId="0" applyNumberFormat="1" applyFont="1" applyBorder="1" applyAlignment="1">
      <alignment/>
    </xf>
    <xf numFmtId="164" fontId="50" fillId="0" borderId="27" xfId="0" applyNumberFormat="1" applyFont="1" applyBorder="1" applyAlignment="1">
      <alignment/>
    </xf>
    <xf numFmtId="164" fontId="50" fillId="0" borderId="28" xfId="0" applyNumberFormat="1" applyFont="1" applyBorder="1" applyAlignment="1">
      <alignment/>
    </xf>
    <xf numFmtId="164" fontId="50" fillId="0" borderId="27" xfId="0" applyNumberFormat="1" applyFont="1" applyFill="1" applyBorder="1" applyAlignment="1">
      <alignment/>
    </xf>
    <xf numFmtId="164" fontId="50" fillId="0" borderId="29" xfId="0" applyNumberFormat="1" applyFont="1" applyBorder="1" applyAlignment="1">
      <alignment/>
    </xf>
    <xf numFmtId="164" fontId="50" fillId="0" borderId="30" xfId="0" applyNumberFormat="1" applyFont="1" applyBorder="1" applyAlignment="1">
      <alignment/>
    </xf>
    <xf numFmtId="164" fontId="50" fillId="0" borderId="31" xfId="0" applyNumberFormat="1" applyFont="1" applyBorder="1" applyAlignment="1">
      <alignment/>
    </xf>
    <xf numFmtId="164" fontId="50" fillId="0" borderId="32" xfId="0" applyNumberFormat="1" applyFont="1" applyBorder="1" applyAlignment="1">
      <alignment/>
    </xf>
    <xf numFmtId="164" fontId="50" fillId="0" borderId="33" xfId="0" applyNumberFormat="1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0" borderId="36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showGridLines="0" tabSelected="1" view="pageBreakPreview" zoomScale="88" zoomScaleSheetLayoutView="88" zoomScalePageLayoutView="0" workbookViewId="0" topLeftCell="A1">
      <pane xSplit="2" ySplit="5" topLeftCell="C6" activePane="bottomRight" state="frozen"/>
      <selection pane="topLeft" activeCell="A1" sqref="A1"/>
      <selection pane="topRight" activeCell="CV1" sqref="CV1"/>
      <selection pane="bottomLeft" activeCell="A6" sqref="A6"/>
      <selection pane="bottomRight" activeCell="E27" sqref="E27"/>
    </sheetView>
  </sheetViews>
  <sheetFormatPr defaultColWidth="9.00390625" defaultRowHeight="12.75"/>
  <cols>
    <col min="1" max="1" width="1.00390625" style="0" customWidth="1"/>
    <col min="2" max="2" width="16.375" style="0" customWidth="1"/>
    <col min="3" max="27" width="7.125" style="0" customWidth="1"/>
  </cols>
  <sheetData>
    <row r="1" ht="12.75">
      <c r="B1" s="5"/>
    </row>
    <row r="2" ht="12.75">
      <c r="B2" s="5" t="s">
        <v>28</v>
      </c>
    </row>
    <row r="3" ht="13.5" thickBot="1">
      <c r="B3" s="9" t="s">
        <v>32</v>
      </c>
    </row>
    <row r="4" spans="2:27" ht="26.25" customHeight="1" thickBot="1">
      <c r="B4" s="3" t="s">
        <v>13</v>
      </c>
      <c r="C4" s="17" t="s">
        <v>35</v>
      </c>
      <c r="D4" s="11" t="s">
        <v>37</v>
      </c>
      <c r="E4" s="18" t="s">
        <v>40</v>
      </c>
      <c r="F4" s="21" t="s">
        <v>41</v>
      </c>
      <c r="G4" s="23" t="s">
        <v>43</v>
      </c>
      <c r="H4" s="29" t="s">
        <v>44</v>
      </c>
      <c r="I4" s="42" t="s">
        <v>45</v>
      </c>
      <c r="J4" s="43" t="s">
        <v>46</v>
      </c>
      <c r="K4" s="52" t="s">
        <v>47</v>
      </c>
      <c r="L4" s="18" t="s">
        <v>40</v>
      </c>
      <c r="M4" s="21" t="s">
        <v>41</v>
      </c>
      <c r="N4" s="23" t="s">
        <v>43</v>
      </c>
      <c r="O4" s="23" t="s">
        <v>44</v>
      </c>
      <c r="P4" s="42" t="s">
        <v>45</v>
      </c>
      <c r="Q4" s="43" t="s">
        <v>46</v>
      </c>
      <c r="R4" s="52" t="s">
        <v>47</v>
      </c>
      <c r="S4" s="23" t="s">
        <v>43</v>
      </c>
      <c r="T4" s="23" t="s">
        <v>44</v>
      </c>
      <c r="U4" s="42" t="s">
        <v>45</v>
      </c>
      <c r="V4" s="43" t="s">
        <v>46</v>
      </c>
      <c r="W4" s="52" t="s">
        <v>47</v>
      </c>
      <c r="X4" s="43" t="s">
        <v>45</v>
      </c>
      <c r="Y4" s="43" t="s">
        <v>46</v>
      </c>
      <c r="Z4" s="52" t="s">
        <v>47</v>
      </c>
      <c r="AA4" s="52" t="s">
        <v>47</v>
      </c>
    </row>
    <row r="5" spans="2:27" ht="13.5" thickBot="1">
      <c r="B5" s="8"/>
      <c r="C5" s="63">
        <v>2013</v>
      </c>
      <c r="D5" s="64"/>
      <c r="E5" s="64"/>
      <c r="F5" s="64"/>
      <c r="G5" s="64"/>
      <c r="H5" s="64"/>
      <c r="I5" s="64"/>
      <c r="J5" s="64"/>
      <c r="K5" s="65"/>
      <c r="L5" s="63">
        <v>2014</v>
      </c>
      <c r="M5" s="64"/>
      <c r="N5" s="64"/>
      <c r="O5" s="64"/>
      <c r="P5" s="64"/>
      <c r="Q5" s="64"/>
      <c r="R5" s="65"/>
      <c r="S5" s="63">
        <v>2015</v>
      </c>
      <c r="T5" s="64"/>
      <c r="U5" s="64"/>
      <c r="V5" s="64"/>
      <c r="W5" s="65"/>
      <c r="X5" s="66">
        <v>2016</v>
      </c>
      <c r="Y5" s="67"/>
      <c r="Z5" s="68"/>
      <c r="AA5" s="53">
        <v>2017</v>
      </c>
    </row>
    <row r="6" spans="2:29" ht="12.75">
      <c r="B6" s="2" t="s">
        <v>0</v>
      </c>
      <c r="C6" s="14">
        <f>-9445*100/384270</f>
        <v>-2.4579072006661984</v>
      </c>
      <c r="D6" s="14">
        <f>(-9704/382710)*100</f>
        <v>-2.5356013691829324</v>
      </c>
      <c r="E6" s="20">
        <v>-2.6</v>
      </c>
      <c r="F6" s="20">
        <v>-2.9</v>
      </c>
      <c r="G6" s="30">
        <v>-2.9</v>
      </c>
      <c r="H6" s="30">
        <v>-2.9</v>
      </c>
      <c r="I6" s="44">
        <v>-3</v>
      </c>
      <c r="J6" s="44">
        <v>-3</v>
      </c>
      <c r="K6" s="54">
        <v>-3.1</v>
      </c>
      <c r="L6" s="20">
        <f>-8396*100/391902</f>
        <v>-2.1423723277758215</v>
      </c>
      <c r="M6" s="20">
        <v>-2.9</v>
      </c>
      <c r="N6" s="30">
        <v>-3.2</v>
      </c>
      <c r="O6" s="30">
        <v>-3.1</v>
      </c>
      <c r="P6" s="44">
        <v>-3.1</v>
      </c>
      <c r="Q6" s="44">
        <v>-3.1</v>
      </c>
      <c r="R6" s="58">
        <v>-3.1</v>
      </c>
      <c r="S6" s="30">
        <v>-2.4</v>
      </c>
      <c r="T6" s="30">
        <v>-2.7</v>
      </c>
      <c r="U6" s="44">
        <v>-2.6</v>
      </c>
      <c r="V6" s="44">
        <v>-2.5</v>
      </c>
      <c r="W6" s="58">
        <v>-2.5</v>
      </c>
      <c r="X6" s="44">
        <v>-2.4</v>
      </c>
      <c r="Y6" s="44">
        <v>-2.9</v>
      </c>
      <c r="Z6" s="58">
        <v>-2.6</v>
      </c>
      <c r="AA6" s="58">
        <v>-1.7</v>
      </c>
      <c r="AB6" s="50"/>
      <c r="AC6" s="50"/>
    </row>
    <row r="7" spans="2:29" ht="12.75">
      <c r="B7" s="4" t="s">
        <v>1</v>
      </c>
      <c r="C7" s="10">
        <f>-44225*100/1862387</f>
        <v>-2.374640716456891</v>
      </c>
      <c r="D7" s="10">
        <f>-28831*100/1852123</f>
        <v>-1.5566460758815694</v>
      </c>
      <c r="E7" s="33">
        <v>-0.8</v>
      </c>
      <c r="F7" s="33">
        <v>-0.7</v>
      </c>
      <c r="G7" s="27">
        <v>-1.1</v>
      </c>
      <c r="H7" s="27">
        <v>-1.3</v>
      </c>
      <c r="I7" s="45">
        <v>-1.1</v>
      </c>
      <c r="J7" s="45">
        <v>-1.1</v>
      </c>
      <c r="K7" s="55">
        <v>-1</v>
      </c>
      <c r="L7" s="33">
        <f>-21048*100/1913147</f>
        <v>-1.1001768290674998</v>
      </c>
      <c r="M7" s="33">
        <v>-1.2</v>
      </c>
      <c r="N7" s="27">
        <v>1.2</v>
      </c>
      <c r="O7" s="27">
        <v>1.5</v>
      </c>
      <c r="P7" s="45">
        <v>1.5</v>
      </c>
      <c r="Q7" s="45">
        <v>1.5</v>
      </c>
      <c r="R7" s="55">
        <v>1.4</v>
      </c>
      <c r="S7" s="27">
        <v>-1.6</v>
      </c>
      <c r="T7" s="27">
        <v>-3.3</v>
      </c>
      <c r="U7" s="45">
        <v>-2.1</v>
      </c>
      <c r="V7" s="45">
        <v>-1.7</v>
      </c>
      <c r="W7" s="55">
        <v>-1.3</v>
      </c>
      <c r="X7" s="45">
        <v>-2.8</v>
      </c>
      <c r="Y7" s="45">
        <v>-0.9</v>
      </c>
      <c r="Z7" s="55">
        <v>-0.9</v>
      </c>
      <c r="AA7" s="55">
        <v>-1.6</v>
      </c>
      <c r="AB7" s="50"/>
      <c r="AC7" s="50"/>
    </row>
    <row r="8" spans="2:29" ht="12.75">
      <c r="B8" s="4" t="s">
        <v>2</v>
      </c>
      <c r="C8" s="13">
        <f>-9200*100/2703412</f>
        <v>-0.34031068886281485</v>
      </c>
      <c r="D8" s="13">
        <f>-4452*100/2724612</f>
        <v>-0.16339941246680262</v>
      </c>
      <c r="E8" s="19">
        <v>0</v>
      </c>
      <c r="F8" s="37">
        <v>0.1</v>
      </c>
      <c r="G8" s="26">
        <v>0.1</v>
      </c>
      <c r="H8" s="26">
        <v>-0.1</v>
      </c>
      <c r="I8" s="44">
        <v>-0.1</v>
      </c>
      <c r="J8" s="44">
        <v>-0.2</v>
      </c>
      <c r="K8" s="56">
        <v>-0.2</v>
      </c>
      <c r="L8" s="19">
        <f>3620*100/2831866</f>
        <v>0.12783090725337992</v>
      </c>
      <c r="M8" s="19">
        <v>0.2</v>
      </c>
      <c r="N8" s="26">
        <v>0.7</v>
      </c>
      <c r="O8" s="26">
        <v>0.3</v>
      </c>
      <c r="P8" s="44">
        <v>0.3</v>
      </c>
      <c r="Q8" s="44">
        <v>0.3</v>
      </c>
      <c r="R8" s="56">
        <v>0.3</v>
      </c>
      <c r="S8" s="26">
        <v>0.3</v>
      </c>
      <c r="T8" s="26">
        <v>0.9</v>
      </c>
      <c r="U8" s="44">
        <v>0.7</v>
      </c>
      <c r="V8" s="44">
        <v>0.7</v>
      </c>
      <c r="W8" s="56">
        <v>0.7</v>
      </c>
      <c r="X8" s="44">
        <v>-0.1</v>
      </c>
      <c r="Y8" s="44">
        <v>0.6</v>
      </c>
      <c r="Z8" s="56">
        <v>0.8</v>
      </c>
      <c r="AA8" s="56">
        <v>0.4</v>
      </c>
      <c r="AB8" s="50"/>
      <c r="AC8" s="50"/>
    </row>
    <row r="9" spans="2:29" ht="12.75">
      <c r="B9" s="4" t="s">
        <v>3</v>
      </c>
      <c r="C9" s="12">
        <f>-3547*100/183500</f>
        <v>-1.9329700272479564</v>
      </c>
      <c r="D9" s="12">
        <f>-3886*100/182911</f>
        <v>-2.124530509373411</v>
      </c>
      <c r="E9" s="34">
        <v>-12.7</v>
      </c>
      <c r="F9" s="34">
        <v>-12.2</v>
      </c>
      <c r="G9" s="31">
        <v>-12.3</v>
      </c>
      <c r="H9" s="31">
        <v>-12.4</v>
      </c>
      <c r="I9" s="48">
        <v>-13</v>
      </c>
      <c r="J9" s="48">
        <v>-13.2</v>
      </c>
      <c r="K9" s="57">
        <v>-13.1</v>
      </c>
      <c r="L9" s="34">
        <f>-4266*100/181872</f>
        <v>-2.3456057007125892</v>
      </c>
      <c r="M9" s="34">
        <v>-0.9</v>
      </c>
      <c r="N9" s="31">
        <v>-3.5</v>
      </c>
      <c r="O9" s="31">
        <v>-3.6</v>
      </c>
      <c r="P9" s="48">
        <v>-3.6</v>
      </c>
      <c r="Q9" s="48">
        <v>-3.6</v>
      </c>
      <c r="R9" s="57">
        <v>-3.7</v>
      </c>
      <c r="S9" s="31">
        <v>-0.2</v>
      </c>
      <c r="T9" s="31">
        <v>-0.3</v>
      </c>
      <c r="U9" s="48">
        <v>-7.2</v>
      </c>
      <c r="V9" s="48">
        <v>-7.5</v>
      </c>
      <c r="W9" s="57">
        <v>-5.9</v>
      </c>
      <c r="X9" s="48">
        <v>-2.1</v>
      </c>
      <c r="Y9" s="48">
        <v>-2.8</v>
      </c>
      <c r="Z9" s="57">
        <v>0.7</v>
      </c>
      <c r="AA9" s="57">
        <v>-0.8</v>
      </c>
      <c r="AB9" s="50"/>
      <c r="AC9" s="50"/>
    </row>
    <row r="10" spans="2:29" ht="12.75">
      <c r="B10" s="4" t="s">
        <v>4</v>
      </c>
      <c r="C10" s="13">
        <f>-48343*100/1062900</f>
        <v>-4.548217141781917</v>
      </c>
      <c r="D10" s="13">
        <f>-70075*100/1026156</f>
        <v>-6.828883717485451</v>
      </c>
      <c r="E10" s="19">
        <v>-7.1</v>
      </c>
      <c r="F10" s="19">
        <v>-6.8</v>
      </c>
      <c r="G10" s="26">
        <v>-6.8</v>
      </c>
      <c r="H10" s="26">
        <v>-6.9</v>
      </c>
      <c r="I10" s="44">
        <v>-6.9</v>
      </c>
      <c r="J10" s="44">
        <v>-7</v>
      </c>
      <c r="K10" s="56">
        <v>-7</v>
      </c>
      <c r="L10" s="19">
        <f>-60409*100/1047385</f>
        <v>-5.767602171121412</v>
      </c>
      <c r="M10" s="19">
        <v>-5.5</v>
      </c>
      <c r="N10" s="26">
        <v>-5.8</v>
      </c>
      <c r="O10" s="26">
        <v>-5.9</v>
      </c>
      <c r="P10" s="44">
        <v>-5.9</v>
      </c>
      <c r="Q10" s="44">
        <v>-6</v>
      </c>
      <c r="R10" s="56">
        <v>-6</v>
      </c>
      <c r="S10" s="26">
        <v>-4.2</v>
      </c>
      <c r="T10" s="26">
        <v>-4.4</v>
      </c>
      <c r="U10" s="44">
        <v>-5.1</v>
      </c>
      <c r="V10" s="44">
        <v>-5.1</v>
      </c>
      <c r="W10" s="56">
        <v>-5.1</v>
      </c>
      <c r="X10" s="44">
        <v>-2.8</v>
      </c>
      <c r="Y10" s="44">
        <v>-4.6</v>
      </c>
      <c r="Z10" s="56">
        <v>-4.5</v>
      </c>
      <c r="AA10" s="56">
        <v>-3.1</v>
      </c>
      <c r="AB10" s="50"/>
      <c r="AC10" s="50"/>
    </row>
    <row r="11" spans="2:29" ht="12.75">
      <c r="B11" s="4" t="s">
        <v>5</v>
      </c>
      <c r="C11" s="10">
        <f>-76652*100/2067447</f>
        <v>-3.7075678360799578</v>
      </c>
      <c r="D11" s="10">
        <f>-84901*100/2068316</f>
        <v>-4.10483697848878</v>
      </c>
      <c r="E11" s="33">
        <v>-4.3</v>
      </c>
      <c r="F11" s="33">
        <v>-4.1</v>
      </c>
      <c r="G11" s="27">
        <v>-4.1</v>
      </c>
      <c r="H11" s="27">
        <v>-4.1</v>
      </c>
      <c r="I11" s="46">
        <v>-4</v>
      </c>
      <c r="J11" s="46">
        <v>-4</v>
      </c>
      <c r="K11" s="55">
        <v>-4</v>
      </c>
      <c r="L11" s="33">
        <f>-79211*100/2105160</f>
        <v>-3.7627068726367594</v>
      </c>
      <c r="M11" s="33">
        <v>-4.4</v>
      </c>
      <c r="N11" s="27">
        <v>-4</v>
      </c>
      <c r="O11" s="27">
        <v>-3.9</v>
      </c>
      <c r="P11" s="46">
        <v>-4</v>
      </c>
      <c r="Q11" s="46">
        <v>-4</v>
      </c>
      <c r="R11" s="55">
        <v>-3.9</v>
      </c>
      <c r="S11" s="27">
        <v>-3.8</v>
      </c>
      <c r="T11" s="27">
        <v>-3.8</v>
      </c>
      <c r="U11" s="46">
        <v>-3.5</v>
      </c>
      <c r="V11" s="46">
        <v>-3.5</v>
      </c>
      <c r="W11" s="55">
        <v>-3.6</v>
      </c>
      <c r="X11" s="46">
        <v>-3.3</v>
      </c>
      <c r="Y11" s="46">
        <v>-3.3</v>
      </c>
      <c r="Z11" s="55">
        <v>-3.4</v>
      </c>
      <c r="AA11" s="55">
        <v>-2.8</v>
      </c>
      <c r="AB11" s="50"/>
      <c r="AC11" s="50"/>
    </row>
    <row r="12" spans="2:29" ht="12.75">
      <c r="B12" s="4" t="s">
        <v>6</v>
      </c>
      <c r="C12" s="13">
        <f>-12575*100/167900</f>
        <v>-7.489577129243598</v>
      </c>
      <c r="D12" s="13">
        <f>-12149*100/165875</f>
        <v>-7.324189902034664</v>
      </c>
      <c r="E12" s="19">
        <v>-7.2</v>
      </c>
      <c r="F12" s="19">
        <v>-5.7</v>
      </c>
      <c r="G12" s="26">
        <v>-5.8</v>
      </c>
      <c r="H12" s="26">
        <v>-5.7</v>
      </c>
      <c r="I12" s="45">
        <v>-5.7</v>
      </c>
      <c r="J12" s="45">
        <v>-5.7</v>
      </c>
      <c r="K12" s="56">
        <v>-5.7</v>
      </c>
      <c r="L12" s="19">
        <f>-8088*100/168385</f>
        <v>-4.80327820174006</v>
      </c>
      <c r="M12" s="19">
        <v>-3.7</v>
      </c>
      <c r="N12" s="26">
        <v>-4.1</v>
      </c>
      <c r="O12" s="26">
        <v>-3.9</v>
      </c>
      <c r="P12" s="45">
        <v>-3.8</v>
      </c>
      <c r="Q12" s="45">
        <v>-3.7</v>
      </c>
      <c r="R12" s="56">
        <v>-3.7</v>
      </c>
      <c r="S12" s="26">
        <v>-2.9</v>
      </c>
      <c r="T12" s="26">
        <v>-2.1</v>
      </c>
      <c r="U12" s="45">
        <v>-2.3</v>
      </c>
      <c r="V12" s="45">
        <v>-1.9</v>
      </c>
      <c r="W12" s="56">
        <v>-2</v>
      </c>
      <c r="X12" s="45">
        <v>-1.1</v>
      </c>
      <c r="Y12" s="45">
        <v>-0.9</v>
      </c>
      <c r="Z12" s="56">
        <v>-0.6</v>
      </c>
      <c r="AA12" s="56">
        <v>-0.4</v>
      </c>
      <c r="AB12" s="50"/>
      <c r="AC12" s="50"/>
    </row>
    <row r="13" spans="2:29" ht="12.75">
      <c r="B13" s="4" t="s">
        <v>7</v>
      </c>
      <c r="C13" s="10">
        <f>-45408*100/1573233</f>
        <v>-2.886285756782371</v>
      </c>
      <c r="D13" s="10">
        <f>-47186*100/1557307</f>
        <v>-3.0299741797860023</v>
      </c>
      <c r="E13" s="33">
        <v>-3</v>
      </c>
      <c r="F13" s="33">
        <v>-2.8</v>
      </c>
      <c r="G13" s="27">
        <v>-2.9</v>
      </c>
      <c r="H13" s="27">
        <v>-2.9</v>
      </c>
      <c r="I13" s="46">
        <v>-2.9</v>
      </c>
      <c r="J13" s="46">
        <v>-2.7</v>
      </c>
      <c r="K13" s="55">
        <v>-2.9</v>
      </c>
      <c r="L13" s="33">
        <f>-41989*100/1587053</f>
        <v>-2.645721346420063</v>
      </c>
      <c r="M13" s="33">
        <v>-3</v>
      </c>
      <c r="N13" s="27">
        <v>-3</v>
      </c>
      <c r="O13" s="27">
        <v>-3</v>
      </c>
      <c r="P13" s="46">
        <v>-3</v>
      </c>
      <c r="Q13" s="46">
        <v>-3</v>
      </c>
      <c r="R13" s="55">
        <v>-3</v>
      </c>
      <c r="S13" s="27">
        <v>-2.6</v>
      </c>
      <c r="T13" s="27">
        <v>-2.6</v>
      </c>
      <c r="U13" s="46">
        <v>-2.6</v>
      </c>
      <c r="V13" s="46">
        <v>-2.6</v>
      </c>
      <c r="W13" s="55">
        <v>-2.7</v>
      </c>
      <c r="X13" s="46">
        <v>-2.3</v>
      </c>
      <c r="Y13" s="46">
        <v>-2.4</v>
      </c>
      <c r="Z13" s="55">
        <v>-2.4</v>
      </c>
      <c r="AA13" s="55">
        <v>-2.1</v>
      </c>
      <c r="AB13" s="50"/>
      <c r="AC13" s="50"/>
    </row>
    <row r="14" spans="2:29" ht="12.75">
      <c r="B14" s="4" t="s">
        <v>27</v>
      </c>
      <c r="C14" s="13">
        <f>-341*100/45554</f>
        <v>-0.7485621460244984</v>
      </c>
      <c r="D14" s="13">
        <f>-413*100/44274</f>
        <v>-0.9328273930523557</v>
      </c>
      <c r="E14" s="19">
        <v>0.1</v>
      </c>
      <c r="F14" s="19">
        <v>0.6</v>
      </c>
      <c r="G14" s="26">
        <v>0.9</v>
      </c>
      <c r="H14" s="26">
        <v>0.7</v>
      </c>
      <c r="I14" s="46">
        <v>0.8</v>
      </c>
      <c r="J14" s="46">
        <v>1</v>
      </c>
      <c r="K14" s="56">
        <v>1</v>
      </c>
      <c r="L14" s="19">
        <f>63*100/48802</f>
        <v>0.12909306995614933</v>
      </c>
      <c r="M14" s="19">
        <v>0.2</v>
      </c>
      <c r="N14" s="26">
        <v>0.6</v>
      </c>
      <c r="O14" s="26">
        <v>1.4</v>
      </c>
      <c r="P14" s="46">
        <v>1.7</v>
      </c>
      <c r="Q14" s="46">
        <v>1.5</v>
      </c>
      <c r="R14" s="56">
        <v>1.4</v>
      </c>
      <c r="S14" s="26">
        <v>-0.4</v>
      </c>
      <c r="T14" s="26">
        <v>0.1</v>
      </c>
      <c r="U14" s="46">
        <v>1.2</v>
      </c>
      <c r="V14" s="46">
        <v>1.6</v>
      </c>
      <c r="W14" s="56">
        <v>1.4</v>
      </c>
      <c r="X14" s="46">
        <v>0.4</v>
      </c>
      <c r="Y14" s="46">
        <v>1.2</v>
      </c>
      <c r="Z14" s="56">
        <v>1.6</v>
      </c>
      <c r="AA14" s="56">
        <v>0.2</v>
      </c>
      <c r="AB14" s="50"/>
      <c r="AC14" s="50"/>
    </row>
    <row r="15" spans="2:29" ht="12.75">
      <c r="B15" s="4" t="s">
        <v>8</v>
      </c>
      <c r="C15" s="14">
        <f>-19908*100/610020</f>
        <v>-3.263499557391561</v>
      </c>
      <c r="D15" s="14">
        <f>-19010*100/601553</f>
        <v>-3.160153801909391</v>
      </c>
      <c r="E15" s="20">
        <v>-2.5</v>
      </c>
      <c r="F15" s="20">
        <v>-2.3</v>
      </c>
      <c r="G15" s="30">
        <v>-2.3</v>
      </c>
      <c r="H15" s="30">
        <v>-2.4</v>
      </c>
      <c r="I15" s="45">
        <v>-2.4</v>
      </c>
      <c r="J15" s="45">
        <v>-2.4</v>
      </c>
      <c r="K15" s="58">
        <v>-2.4</v>
      </c>
      <c r="L15" s="20">
        <f>-17267*100/615440</f>
        <v>-2.8056349928506434</v>
      </c>
      <c r="M15" s="20">
        <v>-2.9</v>
      </c>
      <c r="N15" s="30">
        <v>-2.3</v>
      </c>
      <c r="O15" s="30">
        <v>-2.4</v>
      </c>
      <c r="P15" s="45">
        <v>-2.4</v>
      </c>
      <c r="Q15" s="45">
        <v>-2.3</v>
      </c>
      <c r="R15" s="58">
        <v>-2.3</v>
      </c>
      <c r="S15" s="30">
        <v>-1.8</v>
      </c>
      <c r="T15" s="30">
        <v>-2.2</v>
      </c>
      <c r="U15" s="45">
        <v>-1.8</v>
      </c>
      <c r="V15" s="45">
        <v>-1.9</v>
      </c>
      <c r="W15" s="58">
        <v>-2.1</v>
      </c>
      <c r="X15" s="45">
        <v>-1.7</v>
      </c>
      <c r="Y15" s="45">
        <v>-1.1</v>
      </c>
      <c r="Z15" s="58">
        <v>0.4</v>
      </c>
      <c r="AA15" s="58">
        <v>0.5</v>
      </c>
      <c r="AB15" s="50"/>
      <c r="AC15" s="50"/>
    </row>
    <row r="16" spans="2:29" ht="12.75">
      <c r="B16" s="4" t="s">
        <v>9</v>
      </c>
      <c r="C16" s="10">
        <f>-7447*100/319145</f>
        <v>-2.3334221122060503</v>
      </c>
      <c r="D16" s="10">
        <f>-7221*100/314900</f>
        <v>-2.2931089234677677</v>
      </c>
      <c r="E16" s="33">
        <v>-1.5</v>
      </c>
      <c r="F16" s="33">
        <v>-1.5</v>
      </c>
      <c r="G16" s="27">
        <v>-1.3</v>
      </c>
      <c r="H16" s="27">
        <v>-1.3</v>
      </c>
      <c r="I16" s="44">
        <v>-1.3</v>
      </c>
      <c r="J16" s="44">
        <v>-1.4</v>
      </c>
      <c r="K16" s="55">
        <v>-1.4</v>
      </c>
      <c r="L16" s="33">
        <f>-8697*100/324142</f>
        <v>-2.6830833400176464</v>
      </c>
      <c r="M16" s="33">
        <v>-2.8</v>
      </c>
      <c r="N16" s="27">
        <v>-2.4</v>
      </c>
      <c r="O16" s="27">
        <v>-2.7</v>
      </c>
      <c r="P16" s="44">
        <v>-2.7</v>
      </c>
      <c r="Q16" s="44">
        <v>-2.7</v>
      </c>
      <c r="R16" s="55">
        <v>-2.7</v>
      </c>
      <c r="S16" s="27">
        <v>-2.2</v>
      </c>
      <c r="T16" s="27">
        <v>-1.9</v>
      </c>
      <c r="U16" s="44">
        <v>-1.2</v>
      </c>
      <c r="V16" s="44">
        <v>-1</v>
      </c>
      <c r="W16" s="55">
        <v>-1.1</v>
      </c>
      <c r="X16" s="44">
        <v>-1.4</v>
      </c>
      <c r="Y16" s="44">
        <v>-1.4</v>
      </c>
      <c r="Z16" s="55">
        <v>-1.6</v>
      </c>
      <c r="AA16" s="55">
        <v>-1</v>
      </c>
      <c r="AB16" s="50"/>
      <c r="AC16" s="50"/>
    </row>
    <row r="17" spans="2:29" ht="12.75">
      <c r="B17" s="4" t="s">
        <v>10</v>
      </c>
      <c r="C17" s="13">
        <f>-8975*100/164338</f>
        <v>-5.461305358468522</v>
      </c>
      <c r="D17" s="13">
        <f>-9084*100/165379</f>
        <v>-5.492837663790445</v>
      </c>
      <c r="E17" s="19">
        <v>-4.9</v>
      </c>
      <c r="F17" s="19">
        <v>-4.9</v>
      </c>
      <c r="G17" s="26">
        <v>-4.8</v>
      </c>
      <c r="H17" s="26">
        <v>-4.8</v>
      </c>
      <c r="I17" s="45">
        <v>-4.8</v>
      </c>
      <c r="J17" s="45">
        <v>-4.8</v>
      </c>
      <c r="K17" s="56">
        <v>-4.8</v>
      </c>
      <c r="L17" s="19">
        <f>-6793*100/168955</f>
        <v>-4.020597200437987</v>
      </c>
      <c r="M17" s="19">
        <v>-4.8</v>
      </c>
      <c r="N17" s="26">
        <v>-4.5</v>
      </c>
      <c r="O17" s="26">
        <v>-7.2</v>
      </c>
      <c r="P17" s="45">
        <v>-7.2</v>
      </c>
      <c r="Q17" s="45">
        <v>-7.2</v>
      </c>
      <c r="R17" s="56">
        <v>-7.2</v>
      </c>
      <c r="S17" s="26">
        <v>-2.7</v>
      </c>
      <c r="T17" s="26">
        <v>-2.7</v>
      </c>
      <c r="U17" s="45">
        <v>-4.4</v>
      </c>
      <c r="V17" s="45">
        <v>-4.4</v>
      </c>
      <c r="W17" s="56">
        <v>-4.4</v>
      </c>
      <c r="X17" s="45">
        <v>-2.2</v>
      </c>
      <c r="Y17" s="45">
        <v>-2.2</v>
      </c>
      <c r="Z17" s="56">
        <v>-2</v>
      </c>
      <c r="AA17" s="56">
        <v>-1.6</v>
      </c>
      <c r="AB17" s="50"/>
      <c r="AC17" s="50"/>
    </row>
    <row r="18" spans="2:29" ht="12.75">
      <c r="B18" s="4" t="s">
        <v>11</v>
      </c>
      <c r="C18" s="10">
        <f>-3825*100/200155</f>
        <v>-1.911018960305763</v>
      </c>
      <c r="D18" s="10">
        <f>-4335*100/195339</f>
        <v>-2.219218896380139</v>
      </c>
      <c r="E18" s="33">
        <v>-2.1</v>
      </c>
      <c r="F18" s="33">
        <v>-2.4</v>
      </c>
      <c r="G18" s="27">
        <v>-2.5</v>
      </c>
      <c r="H18" s="27">
        <v>-2.5</v>
      </c>
      <c r="I18" s="44">
        <v>-2.6</v>
      </c>
      <c r="J18" s="44">
        <v>-2.6</v>
      </c>
      <c r="K18" s="55">
        <v>-2.6</v>
      </c>
      <c r="L18" s="33">
        <f>-4069*100/197423</f>
        <v>-2.061056715782862</v>
      </c>
      <c r="M18" s="33">
        <v>-2.7</v>
      </c>
      <c r="N18" s="27">
        <v>-3.2</v>
      </c>
      <c r="O18" s="27">
        <v>-3.3</v>
      </c>
      <c r="P18" s="44">
        <v>-3.2</v>
      </c>
      <c r="Q18" s="44">
        <v>-3.2</v>
      </c>
      <c r="R18" s="55">
        <v>-3.2</v>
      </c>
      <c r="S18" s="27">
        <v>-3.4</v>
      </c>
      <c r="T18" s="27">
        <v>-3.4</v>
      </c>
      <c r="U18" s="44">
        <v>-2.7</v>
      </c>
      <c r="V18" s="44">
        <v>-2.8</v>
      </c>
      <c r="W18" s="55">
        <v>-2.7</v>
      </c>
      <c r="X18" s="44">
        <v>-2.6</v>
      </c>
      <c r="Y18" s="44">
        <v>-2.4</v>
      </c>
      <c r="Z18" s="55">
        <v>-1.9</v>
      </c>
      <c r="AA18" s="55">
        <v>-1.9</v>
      </c>
      <c r="AB18" s="50"/>
      <c r="AC18" s="50"/>
    </row>
    <row r="19" spans="2:29" ht="12.75">
      <c r="B19" s="4" t="s">
        <v>12</v>
      </c>
      <c r="C19" s="13">
        <f>-50574*100/3638695</f>
        <v>-1.3898939042706244</v>
      </c>
      <c r="D19" s="13">
        <f>-33681*100/3625886</f>
        <v>-0.9289039975332926</v>
      </c>
      <c r="E19" s="19">
        <v>-1.1</v>
      </c>
      <c r="F19" s="19">
        <v>-1.3</v>
      </c>
      <c r="G19" s="26">
        <v>-1.4</v>
      </c>
      <c r="H19" s="26">
        <v>-1.4</v>
      </c>
      <c r="I19" s="45">
        <v>-1.4</v>
      </c>
      <c r="J19" s="45">
        <v>-1.4</v>
      </c>
      <c r="K19" s="56">
        <v>-1.4</v>
      </c>
      <c r="L19" s="19">
        <f>-51762*100/3783478</f>
        <v>-1.3681062768172565</v>
      </c>
      <c r="M19" s="19">
        <v>-2.2</v>
      </c>
      <c r="N19" s="26">
        <v>-1.9</v>
      </c>
      <c r="O19" s="26">
        <v>-1.7</v>
      </c>
      <c r="P19" s="45">
        <v>-1.6</v>
      </c>
      <c r="Q19" s="45">
        <v>-1.6</v>
      </c>
      <c r="R19" s="56">
        <v>-1.5</v>
      </c>
      <c r="S19" s="26">
        <v>-1.4</v>
      </c>
      <c r="T19" s="26">
        <v>-0.9</v>
      </c>
      <c r="U19" s="45">
        <v>0</v>
      </c>
      <c r="V19" s="45">
        <v>0.2</v>
      </c>
      <c r="W19" s="56">
        <v>0.3</v>
      </c>
      <c r="X19" s="45">
        <v>-0.4</v>
      </c>
      <c r="Y19" s="45">
        <v>-0.2</v>
      </c>
      <c r="Z19" s="56">
        <v>0.9</v>
      </c>
      <c r="AA19" s="56">
        <v>0.3</v>
      </c>
      <c r="AB19" s="50"/>
      <c r="AC19" s="50"/>
    </row>
    <row r="20" spans="2:29" ht="12.75">
      <c r="B20" s="4" t="s">
        <v>31</v>
      </c>
      <c r="C20" s="35" t="s">
        <v>30</v>
      </c>
      <c r="D20" s="10">
        <f>-86510*100/1545755</f>
        <v>-5.596617834003448</v>
      </c>
      <c r="E20" s="33">
        <v>-5.8</v>
      </c>
      <c r="F20" s="33">
        <v>-5.8</v>
      </c>
      <c r="G20" s="27">
        <v>-5.7</v>
      </c>
      <c r="H20" s="27">
        <v>-5.7</v>
      </c>
      <c r="I20" s="44">
        <v>-5.6</v>
      </c>
      <c r="J20" s="44">
        <v>-5.7</v>
      </c>
      <c r="K20" s="55">
        <v>-5.6</v>
      </c>
      <c r="L20" s="36" t="s">
        <v>30</v>
      </c>
      <c r="M20" s="33">
        <v>-5</v>
      </c>
      <c r="N20" s="27">
        <v>-5.7</v>
      </c>
      <c r="O20" s="27">
        <v>-5.7</v>
      </c>
      <c r="P20" s="44">
        <v>-5.6</v>
      </c>
      <c r="Q20" s="44">
        <v>-5.7</v>
      </c>
      <c r="R20" s="55">
        <v>-5.7</v>
      </c>
      <c r="S20" s="27" t="s">
        <v>30</v>
      </c>
      <c r="T20" s="27">
        <v>-4</v>
      </c>
      <c r="U20" s="44">
        <v>-4.4</v>
      </c>
      <c r="V20" s="44">
        <v>-4.3</v>
      </c>
      <c r="W20" s="55">
        <v>-4.3</v>
      </c>
      <c r="X20" s="44" t="s">
        <v>30</v>
      </c>
      <c r="Y20" s="44">
        <v>-3.2</v>
      </c>
      <c r="Z20" s="55">
        <v>-3</v>
      </c>
      <c r="AA20" s="55" t="s">
        <v>30</v>
      </c>
      <c r="AB20" s="50"/>
      <c r="AC20" s="50"/>
    </row>
    <row r="21" spans="2:29" ht="12.75">
      <c r="B21" s="2" t="s">
        <v>25</v>
      </c>
      <c r="C21" s="13">
        <f>-985*100/16400</f>
        <v>-6.0060975609756095</v>
      </c>
      <c r="D21" s="13">
        <f>-1200*100/16400</f>
        <v>-7.317073170731708</v>
      </c>
      <c r="E21" s="19">
        <v>-5.4</v>
      </c>
      <c r="F21" s="19">
        <v>-4.9</v>
      </c>
      <c r="G21" s="26">
        <v>-4.9</v>
      </c>
      <c r="H21" s="26">
        <v>-4.9</v>
      </c>
      <c r="I21" s="45">
        <v>-4.9</v>
      </c>
      <c r="J21" s="45">
        <v>-4.9</v>
      </c>
      <c r="K21" s="56">
        <v>-5.1</v>
      </c>
      <c r="L21" s="19">
        <f>-936*100/15873</f>
        <v>-5.896805896805897</v>
      </c>
      <c r="M21" s="19">
        <v>-3.6</v>
      </c>
      <c r="N21" s="26">
        <v>-8.8</v>
      </c>
      <c r="O21" s="26">
        <v>-8.9</v>
      </c>
      <c r="P21" s="45">
        <v>-8.9</v>
      </c>
      <c r="Q21" s="45">
        <v>-8.8</v>
      </c>
      <c r="R21" s="56">
        <v>-8.8</v>
      </c>
      <c r="S21" s="26">
        <v>-1.3</v>
      </c>
      <c r="T21" s="26">
        <v>-1.3</v>
      </c>
      <c r="U21" s="45">
        <v>-1</v>
      </c>
      <c r="V21" s="45">
        <v>-1.1</v>
      </c>
      <c r="W21" s="56">
        <v>-1.2</v>
      </c>
      <c r="X21" s="45">
        <v>0.2</v>
      </c>
      <c r="Y21" s="45">
        <v>-0.3</v>
      </c>
      <c r="Z21" s="56">
        <v>0.4</v>
      </c>
      <c r="AA21" s="56">
        <v>0.1</v>
      </c>
      <c r="AB21" s="50"/>
      <c r="AC21" s="50"/>
    </row>
    <row r="22" spans="2:29" ht="12.75">
      <c r="B22" s="4" t="s">
        <v>26</v>
      </c>
      <c r="C22" s="10">
        <f>-109622*100/3858260</f>
        <v>-2.841228947764018</v>
      </c>
      <c r="D22" s="10">
        <f>-111593*100/3821677</f>
        <v>-2.9200008268621342</v>
      </c>
      <c r="E22" s="33">
        <v>-1.5</v>
      </c>
      <c r="F22" s="33">
        <v>-1.3</v>
      </c>
      <c r="G22" s="27">
        <v>-1.2</v>
      </c>
      <c r="H22" s="27">
        <v>-1.3</v>
      </c>
      <c r="I22" s="44">
        <v>-1.3</v>
      </c>
      <c r="J22" s="44">
        <v>-1.2</v>
      </c>
      <c r="K22" s="55">
        <v>-1.2</v>
      </c>
      <c r="L22" s="33">
        <f>-73310*100/4022808</f>
        <v>-1.8223589094980421</v>
      </c>
      <c r="M22" s="33">
        <v>-1.5</v>
      </c>
      <c r="N22" s="27">
        <v>-2</v>
      </c>
      <c r="O22" s="27">
        <v>-1.9</v>
      </c>
      <c r="P22" s="44">
        <v>-1.9</v>
      </c>
      <c r="Q22" s="44">
        <v>-1.9</v>
      </c>
      <c r="R22" s="55">
        <v>-1.9</v>
      </c>
      <c r="S22" s="27">
        <v>-1.9</v>
      </c>
      <c r="T22" s="27">
        <v>-1.9</v>
      </c>
      <c r="U22" s="44">
        <v>-0.4</v>
      </c>
      <c r="V22" s="44">
        <v>-0.6</v>
      </c>
      <c r="W22" s="55">
        <v>-0.6</v>
      </c>
      <c r="X22" s="44">
        <v>-0.6</v>
      </c>
      <c r="Y22" s="44">
        <v>-0.2</v>
      </c>
      <c r="Z22" s="55">
        <v>0.6</v>
      </c>
      <c r="AA22" s="55">
        <v>0.4</v>
      </c>
      <c r="AB22" s="50"/>
      <c r="AC22" s="50"/>
    </row>
    <row r="23" spans="2:29" ht="12.75">
      <c r="B23" s="69" t="s">
        <v>15</v>
      </c>
      <c r="C23" s="13">
        <f>-95*100/18121</f>
        <v>-0.5242536283869543</v>
      </c>
      <c r="D23" s="13">
        <f>-45*100/18463</f>
        <v>-0.24373070465254834</v>
      </c>
      <c r="E23" s="19">
        <v>-0.2</v>
      </c>
      <c r="F23" s="19">
        <v>-0.5</v>
      </c>
      <c r="G23" s="26">
        <v>-0.2</v>
      </c>
      <c r="H23" s="26">
        <v>-0.1</v>
      </c>
      <c r="I23" s="45">
        <v>-0.2</v>
      </c>
      <c r="J23" s="45">
        <v>-0.2</v>
      </c>
      <c r="K23" s="56">
        <v>-0.2</v>
      </c>
      <c r="L23" s="19">
        <f>-56*100/19338</f>
        <v>-0.2895852725204261</v>
      </c>
      <c r="M23" s="19">
        <v>-0.2</v>
      </c>
      <c r="N23" s="26">
        <v>0.6</v>
      </c>
      <c r="O23" s="26">
        <v>0.7</v>
      </c>
      <c r="P23" s="45">
        <v>0.8</v>
      </c>
      <c r="Q23" s="45">
        <v>0.7</v>
      </c>
      <c r="R23" s="56">
        <v>0.7</v>
      </c>
      <c r="S23" s="26">
        <v>-0.3</v>
      </c>
      <c r="T23" s="26">
        <v>0.4</v>
      </c>
      <c r="U23" s="45">
        <v>0.4</v>
      </c>
      <c r="V23" s="45">
        <v>0.1</v>
      </c>
      <c r="W23" s="56">
        <v>0.1</v>
      </c>
      <c r="X23" s="45">
        <v>-0.4</v>
      </c>
      <c r="Y23" s="45">
        <v>0.4</v>
      </c>
      <c r="Z23" s="56">
        <v>0.3</v>
      </c>
      <c r="AA23" s="56">
        <v>-0.5</v>
      </c>
      <c r="AB23" s="50"/>
      <c r="AC23" s="50"/>
    </row>
    <row r="24" spans="2:29" ht="12.75">
      <c r="B24" s="4" t="s">
        <v>16</v>
      </c>
      <c r="C24" s="13">
        <f>-796015*100/29482000</f>
        <v>-2.7000033919001423</v>
      </c>
      <c r="D24" s="13">
        <f>-795328*100/29203000</f>
        <v>-2.723446221278636</v>
      </c>
      <c r="E24" s="19">
        <v>-2.2</v>
      </c>
      <c r="F24" s="19">
        <v>-2.4</v>
      </c>
      <c r="G24" s="26">
        <v>-2.5</v>
      </c>
      <c r="H24" s="26">
        <v>-2.5</v>
      </c>
      <c r="I24" s="45">
        <v>-2.6</v>
      </c>
      <c r="J24" s="45">
        <v>-2.6</v>
      </c>
      <c r="K24" s="56">
        <v>-2.6</v>
      </c>
      <c r="L24" s="19">
        <f>-887321*100/30536000</f>
        <v>-2.9058193607545193</v>
      </c>
      <c r="M24" s="19">
        <v>-2.9</v>
      </c>
      <c r="N24" s="26">
        <v>-2.6</v>
      </c>
      <c r="O24" s="26">
        <v>-2.5</v>
      </c>
      <c r="P24" s="45">
        <v>-2.3</v>
      </c>
      <c r="Q24" s="45">
        <v>-2.1</v>
      </c>
      <c r="R24" s="56">
        <v>-2.1</v>
      </c>
      <c r="S24" s="26">
        <v>-2.4</v>
      </c>
      <c r="T24" s="26">
        <v>-2.4</v>
      </c>
      <c r="U24" s="45">
        <v>-2</v>
      </c>
      <c r="V24" s="45">
        <v>-1.6</v>
      </c>
      <c r="W24" s="56">
        <v>-1.6</v>
      </c>
      <c r="X24" s="45">
        <v>-1.9</v>
      </c>
      <c r="Y24" s="45">
        <v>-1.7</v>
      </c>
      <c r="Z24" s="56">
        <v>-1.8</v>
      </c>
      <c r="AA24" s="56">
        <v>-2.4</v>
      </c>
      <c r="AB24" s="50"/>
      <c r="AC24" s="50"/>
    </row>
    <row r="25" spans="2:29" ht="12.75">
      <c r="B25" s="2" t="s">
        <v>17</v>
      </c>
      <c r="C25" s="14">
        <f>-2985*100/119397</f>
        <v>-2.500062815648634</v>
      </c>
      <c r="D25" s="14">
        <f>-3516*100/119303</f>
        <v>-2.9471178428036175</v>
      </c>
      <c r="E25" s="20">
        <v>-2.2</v>
      </c>
      <c r="F25" s="20">
        <v>-2.6</v>
      </c>
      <c r="G25" s="30">
        <v>-2.6</v>
      </c>
      <c r="H25" s="30">
        <v>-2.6</v>
      </c>
      <c r="I25" s="51">
        <v>-2.6</v>
      </c>
      <c r="J25" s="51">
        <v>-2.6</v>
      </c>
      <c r="K25" s="58">
        <v>-2.6</v>
      </c>
      <c r="L25" s="20">
        <f>-2455*100/126037</f>
        <v>-1.947840713441291</v>
      </c>
      <c r="M25" s="20">
        <v>-1.3</v>
      </c>
      <c r="N25" s="30">
        <v>-0.7</v>
      </c>
      <c r="O25" s="30">
        <v>-0.7</v>
      </c>
      <c r="P25" s="51">
        <v>-0.7</v>
      </c>
      <c r="Q25" s="51">
        <v>-0.7</v>
      </c>
      <c r="R25" s="58">
        <v>-0.7</v>
      </c>
      <c r="S25" s="30">
        <v>-1.3</v>
      </c>
      <c r="T25" s="30">
        <v>-1.1</v>
      </c>
      <c r="U25" s="51">
        <v>-0.2</v>
      </c>
      <c r="V25" s="51">
        <v>-0.2</v>
      </c>
      <c r="W25" s="58">
        <v>-0.2</v>
      </c>
      <c r="X25" s="51">
        <v>-1.2</v>
      </c>
      <c r="Y25" s="51">
        <v>-1</v>
      </c>
      <c r="Z25" s="58">
        <v>0.3</v>
      </c>
      <c r="AA25" s="58">
        <v>-0.7</v>
      </c>
      <c r="AB25" s="50"/>
      <c r="AC25" s="50"/>
    </row>
    <row r="26" spans="2:29" ht="12.75">
      <c r="B26" s="4" t="s">
        <v>18</v>
      </c>
      <c r="C26" s="10">
        <f>-236*100/16382</f>
        <v>-1.4406055426687827</v>
      </c>
      <c r="D26" s="10">
        <f>-266*100/16333</f>
        <v>-1.6286046654013346</v>
      </c>
      <c r="E26" s="33">
        <v>-1</v>
      </c>
      <c r="F26" s="33">
        <v>-0.9</v>
      </c>
      <c r="G26" s="27">
        <v>-0.7</v>
      </c>
      <c r="H26" s="27">
        <v>-0.9</v>
      </c>
      <c r="I26" s="44">
        <v>-0.9</v>
      </c>
      <c r="J26" s="44">
        <v>-0.9</v>
      </c>
      <c r="K26" s="55">
        <v>-1</v>
      </c>
      <c r="L26" s="33">
        <f>-225*100/24712</f>
        <v>-0.9104888313370023</v>
      </c>
      <c r="M26" s="33">
        <v>-0.9</v>
      </c>
      <c r="N26" s="27">
        <v>-1.4</v>
      </c>
      <c r="O26" s="27">
        <v>-1.5</v>
      </c>
      <c r="P26" s="44">
        <v>-1.6</v>
      </c>
      <c r="Q26" s="44">
        <v>-1.6</v>
      </c>
      <c r="R26" s="55">
        <v>-1.6</v>
      </c>
      <c r="S26" s="27">
        <v>-1</v>
      </c>
      <c r="T26" s="27">
        <v>-1.5</v>
      </c>
      <c r="U26" s="44">
        <v>-1.3</v>
      </c>
      <c r="V26" s="44">
        <v>-1.3</v>
      </c>
      <c r="W26" s="55">
        <v>-1.3</v>
      </c>
      <c r="X26" s="44">
        <v>-1</v>
      </c>
      <c r="Y26" s="44">
        <v>-0.7</v>
      </c>
      <c r="Z26" s="55">
        <v>0</v>
      </c>
      <c r="AA26" s="55">
        <v>-1</v>
      </c>
      <c r="AB26" s="50"/>
      <c r="AC26" s="50"/>
    </row>
    <row r="27" spans="2:29" ht="12.75">
      <c r="B27" s="4" t="s">
        <v>19</v>
      </c>
      <c r="C27" s="13">
        <f>-191*100/6979</f>
        <v>-2.736781773893108</v>
      </c>
      <c r="D27" s="13">
        <f>-191*100/7082</f>
        <v>-2.6969782547303023</v>
      </c>
      <c r="E27" s="19">
        <v>-2.8</v>
      </c>
      <c r="F27" s="19">
        <v>-2.7</v>
      </c>
      <c r="G27" s="26">
        <v>-2.6</v>
      </c>
      <c r="H27" s="26">
        <v>-2.6</v>
      </c>
      <c r="I27" s="45">
        <v>-2.6</v>
      </c>
      <c r="J27" s="45">
        <v>-2.6</v>
      </c>
      <c r="K27" s="56">
        <v>-2.6</v>
      </c>
      <c r="L27" s="19">
        <f>-155*100/7524</f>
        <v>-2.060074428495481</v>
      </c>
      <c r="M27" s="19">
        <v>-2.1</v>
      </c>
      <c r="N27" s="26">
        <v>-2.1</v>
      </c>
      <c r="O27" s="26">
        <v>-2.1</v>
      </c>
      <c r="P27" s="45">
        <v>-2</v>
      </c>
      <c r="Q27" s="45">
        <v>-2.1</v>
      </c>
      <c r="R27" s="56">
        <v>-2</v>
      </c>
      <c r="S27" s="26">
        <v>-1.6</v>
      </c>
      <c r="T27" s="26">
        <v>-1.6</v>
      </c>
      <c r="U27" s="45">
        <v>-1.5</v>
      </c>
      <c r="V27" s="45">
        <v>-1.4</v>
      </c>
      <c r="W27" s="56">
        <v>-1.3</v>
      </c>
      <c r="X27" s="45">
        <v>-0.7</v>
      </c>
      <c r="Y27" s="45">
        <v>-0.7</v>
      </c>
      <c r="Z27" s="56">
        <v>1</v>
      </c>
      <c r="AA27" s="56">
        <v>0.6</v>
      </c>
      <c r="AB27" s="50"/>
      <c r="AC27" s="50"/>
    </row>
    <row r="28" spans="2:29" ht="12.75">
      <c r="B28" s="4" t="s">
        <v>20</v>
      </c>
      <c r="C28" s="10">
        <f>-57325*100/1642912</f>
        <v>-3.4892313161021407</v>
      </c>
      <c r="D28" s="10">
        <f>-79510*100/1642912</f>
        <v>-4.839577530628542</v>
      </c>
      <c r="E28" s="33">
        <v>-4.3</v>
      </c>
      <c r="F28" s="33">
        <v>-4</v>
      </c>
      <c r="G28" s="27">
        <v>-4</v>
      </c>
      <c r="H28" s="27">
        <v>-4</v>
      </c>
      <c r="I28" s="44">
        <v>-4</v>
      </c>
      <c r="J28" s="44">
        <v>-4.1</v>
      </c>
      <c r="K28" s="55">
        <v>-4.1</v>
      </c>
      <c r="L28" s="33">
        <f>97450*100/1704568</f>
        <v>5.716991049931713</v>
      </c>
      <c r="M28" s="33">
        <v>-3.3</v>
      </c>
      <c r="N28" s="27">
        <v>-3.2</v>
      </c>
      <c r="O28" s="27">
        <v>-3.3</v>
      </c>
      <c r="P28" s="44">
        <v>-3.3</v>
      </c>
      <c r="Q28" s="44">
        <v>-3.4</v>
      </c>
      <c r="R28" s="55">
        <v>-3.5</v>
      </c>
      <c r="S28" s="27">
        <v>-2.7</v>
      </c>
      <c r="T28" s="27">
        <v>-2.8</v>
      </c>
      <c r="U28" s="44">
        <v>-2.6</v>
      </c>
      <c r="V28" s="44">
        <v>-2.6</v>
      </c>
      <c r="W28" s="55">
        <v>-2.6</v>
      </c>
      <c r="X28" s="44">
        <v>-2.6</v>
      </c>
      <c r="Y28" s="44">
        <v>-2.6</v>
      </c>
      <c r="Z28" s="55">
        <v>-2.4</v>
      </c>
      <c r="AA28" s="55">
        <v>-2.9</v>
      </c>
      <c r="AB28" s="50"/>
      <c r="AC28" s="50"/>
    </row>
    <row r="29" spans="2:29" ht="12.75">
      <c r="B29" s="4" t="s">
        <v>22</v>
      </c>
      <c r="C29" s="13">
        <f>-2187*100/74372</f>
        <v>-2.9406228150379174</v>
      </c>
      <c r="D29" s="13">
        <f>-2255*100/72987</f>
        <v>-3.089591297080302</v>
      </c>
      <c r="E29" s="19">
        <v>-2.8</v>
      </c>
      <c r="F29" s="19">
        <v>-2.6</v>
      </c>
      <c r="G29" s="26">
        <v>-2.6</v>
      </c>
      <c r="H29" s="26">
        <v>-2.6</v>
      </c>
      <c r="I29" s="45">
        <v>-2.7</v>
      </c>
      <c r="J29" s="45">
        <v>-2.7</v>
      </c>
      <c r="K29" s="56">
        <v>-2.7</v>
      </c>
      <c r="L29" s="19">
        <f>-2000*100/75773</f>
        <v>-2.639462605413538</v>
      </c>
      <c r="M29" s="19">
        <v>-2.9</v>
      </c>
      <c r="N29" s="26">
        <v>-2.9</v>
      </c>
      <c r="O29" s="26">
        <v>-2.8</v>
      </c>
      <c r="P29" s="45">
        <v>-2.7</v>
      </c>
      <c r="Q29" s="45">
        <v>-2.7</v>
      </c>
      <c r="R29" s="56">
        <v>-2.7</v>
      </c>
      <c r="S29" s="26">
        <v>-2.5</v>
      </c>
      <c r="T29" s="26">
        <v>-2.7</v>
      </c>
      <c r="U29" s="45">
        <v>-3</v>
      </c>
      <c r="V29" s="45">
        <v>-2.7</v>
      </c>
      <c r="W29" s="56">
        <v>-2.7</v>
      </c>
      <c r="X29" s="45">
        <v>-1.9</v>
      </c>
      <c r="Y29" s="45">
        <v>-2</v>
      </c>
      <c r="Z29" s="56">
        <v>-1.7</v>
      </c>
      <c r="AA29" s="56">
        <v>-1.3</v>
      </c>
      <c r="AB29" s="50"/>
      <c r="AC29" s="50"/>
    </row>
    <row r="30" spans="2:29" ht="12.75">
      <c r="B30" s="4" t="s">
        <v>23</v>
      </c>
      <c r="C30" s="10">
        <f>-1499*100/35495</f>
        <v>-4.223130018312438</v>
      </c>
      <c r="D30" s="10">
        <f>-1999*100/34908</f>
        <v>-5.726481035865704</v>
      </c>
      <c r="E30" s="33">
        <v>-14.7</v>
      </c>
      <c r="F30" s="33">
        <v>-14.6</v>
      </c>
      <c r="G30" s="27">
        <v>-14.9</v>
      </c>
      <c r="H30" s="27">
        <v>-15</v>
      </c>
      <c r="I30" s="44">
        <v>-15</v>
      </c>
      <c r="J30" s="44">
        <v>-15</v>
      </c>
      <c r="K30" s="55">
        <v>-15.1</v>
      </c>
      <c r="L30" s="33">
        <f>-1469*100/35634</f>
        <v>-4.1224673065050235</v>
      </c>
      <c r="M30" s="33">
        <v>-4.5</v>
      </c>
      <c r="N30" s="27">
        <v>-4.9</v>
      </c>
      <c r="O30" s="27">
        <v>-5</v>
      </c>
      <c r="P30" s="44">
        <v>-5</v>
      </c>
      <c r="Q30" s="44">
        <v>-5</v>
      </c>
      <c r="R30" s="55">
        <v>-5.4</v>
      </c>
      <c r="S30" s="27">
        <v>-2.9</v>
      </c>
      <c r="T30" s="27">
        <v>-2.9</v>
      </c>
      <c r="U30" s="44">
        <v>-2.9</v>
      </c>
      <c r="V30" s="44">
        <v>-2.7</v>
      </c>
      <c r="W30" s="55">
        <v>-2.9</v>
      </c>
      <c r="X30" s="44">
        <v>-2.2</v>
      </c>
      <c r="Y30" s="44">
        <v>-2.2</v>
      </c>
      <c r="Z30" s="55">
        <v>-1.8</v>
      </c>
      <c r="AA30" s="55">
        <v>-0.8</v>
      </c>
      <c r="AB30" s="50"/>
      <c r="AC30" s="50"/>
    </row>
    <row r="31" spans="2:29" ht="12.75">
      <c r="B31" s="4" t="s">
        <v>14</v>
      </c>
      <c r="C31" s="13">
        <f>-1073*100/79932</f>
        <v>-1.342391032377521</v>
      </c>
      <c r="D31" s="13">
        <f>(-1580/78935)*100</f>
        <v>-2.0016469246848674</v>
      </c>
      <c r="E31" s="19">
        <v>-1.5</v>
      </c>
      <c r="F31" s="19">
        <v>-1.2</v>
      </c>
      <c r="G31" s="26">
        <v>-0.9</v>
      </c>
      <c r="H31" s="26">
        <v>-0.8</v>
      </c>
      <c r="I31" s="45">
        <v>-0.4</v>
      </c>
      <c r="J31" s="45">
        <v>-0.4</v>
      </c>
      <c r="K31" s="56">
        <v>-0.4</v>
      </c>
      <c r="L31" s="19">
        <f>-1470*100/80699</f>
        <v>-1.8215839105812959</v>
      </c>
      <c r="M31" s="19">
        <v>-3.6</v>
      </c>
      <c r="N31" s="26">
        <v>-2.8</v>
      </c>
      <c r="O31" s="26">
        <v>-5.8</v>
      </c>
      <c r="P31" s="45">
        <v>-5.4</v>
      </c>
      <c r="Q31" s="45">
        <v>-5.5</v>
      </c>
      <c r="R31" s="56">
        <v>-5.5</v>
      </c>
      <c r="S31" s="26">
        <v>-2.8</v>
      </c>
      <c r="T31" s="26">
        <v>-2.8</v>
      </c>
      <c r="U31" s="45">
        <v>-2.1</v>
      </c>
      <c r="V31" s="45">
        <v>-1.7</v>
      </c>
      <c r="W31" s="56">
        <v>-1.6</v>
      </c>
      <c r="X31" s="45">
        <v>-1.9</v>
      </c>
      <c r="Y31" s="45">
        <v>-0.8</v>
      </c>
      <c r="Z31" s="56">
        <v>0</v>
      </c>
      <c r="AA31" s="56">
        <v>-0.7</v>
      </c>
      <c r="AB31" s="50"/>
      <c r="AC31" s="50"/>
    </row>
    <row r="32" spans="2:29" ht="12.75">
      <c r="B32" s="4" t="s">
        <v>21</v>
      </c>
      <c r="C32" s="16">
        <f>-14779*100/623300</f>
        <v>-2.3710893630675436</v>
      </c>
      <c r="D32" s="16">
        <f>-14961*100/626200</f>
        <v>-2.3891727882465665</v>
      </c>
      <c r="E32" s="38">
        <v>-2.3</v>
      </c>
      <c r="F32" s="38">
        <v>-2.2</v>
      </c>
      <c r="G32" s="32">
        <v>-2.2</v>
      </c>
      <c r="H32" s="32">
        <v>-2.2</v>
      </c>
      <c r="I32" s="44">
        <v>-2.1</v>
      </c>
      <c r="J32" s="44">
        <v>-2.1</v>
      </c>
      <c r="K32" s="59">
        <v>-2.1</v>
      </c>
      <c r="L32" s="38">
        <f>-14765*100/662769</f>
        <v>-2.227774684694064</v>
      </c>
      <c r="M32" s="38">
        <v>-2.1</v>
      </c>
      <c r="N32" s="32">
        <v>-1.5</v>
      </c>
      <c r="O32" s="32">
        <v>-1.4</v>
      </c>
      <c r="P32" s="44">
        <v>-0.9</v>
      </c>
      <c r="Q32" s="44">
        <v>-0.8</v>
      </c>
      <c r="R32" s="59">
        <v>-1.4</v>
      </c>
      <c r="S32" s="32">
        <v>-1.5</v>
      </c>
      <c r="T32" s="32">
        <v>-1.5</v>
      </c>
      <c r="U32" s="44">
        <v>-0.7</v>
      </c>
      <c r="V32" s="44">
        <v>-0.8</v>
      </c>
      <c r="W32" s="59">
        <v>-0.8</v>
      </c>
      <c r="X32" s="44">
        <v>-2.9</v>
      </c>
      <c r="Y32" s="44">
        <v>-2.8</v>
      </c>
      <c r="Z32" s="59">
        <v>-3</v>
      </c>
      <c r="AA32" s="59">
        <v>-3</v>
      </c>
      <c r="AB32" s="50"/>
      <c r="AC32" s="50"/>
    </row>
    <row r="33" spans="2:29" ht="13.5" thickBot="1">
      <c r="B33" s="24" t="s">
        <v>39</v>
      </c>
      <c r="C33" s="39" t="s">
        <v>30</v>
      </c>
      <c r="D33" s="39" t="s">
        <v>30</v>
      </c>
      <c r="E33" s="40">
        <v>-4.9</v>
      </c>
      <c r="F33" s="40">
        <v>-5.2</v>
      </c>
      <c r="G33" s="28">
        <v>-5.4</v>
      </c>
      <c r="H33" s="28">
        <v>-5.4</v>
      </c>
      <c r="I33" s="47">
        <v>-5.3</v>
      </c>
      <c r="J33" s="47">
        <v>-5.3</v>
      </c>
      <c r="K33" s="60">
        <v>-5.3</v>
      </c>
      <c r="L33" s="40">
        <f>-15866*100/333282</f>
        <v>-4.760533122100804</v>
      </c>
      <c r="M33" s="40">
        <v>-5.8</v>
      </c>
      <c r="N33" s="28">
        <v>-5.7</v>
      </c>
      <c r="O33" s="28">
        <v>-5.6</v>
      </c>
      <c r="P33" s="47">
        <v>-5.5</v>
      </c>
      <c r="Q33" s="47">
        <v>-5.4</v>
      </c>
      <c r="R33" s="60">
        <v>-5.4</v>
      </c>
      <c r="S33" s="28" t="s">
        <v>30</v>
      </c>
      <c r="T33" s="28">
        <v>-4.8</v>
      </c>
      <c r="U33" s="47">
        <v>-3.2</v>
      </c>
      <c r="V33" s="47">
        <v>-3.3</v>
      </c>
      <c r="W33" s="60">
        <v>-3.4</v>
      </c>
      <c r="X33" s="47">
        <v>-2.6</v>
      </c>
      <c r="Y33" s="47">
        <v>-2.6</v>
      </c>
      <c r="Z33" s="60">
        <v>-0.8</v>
      </c>
      <c r="AA33" s="60">
        <v>-1.4</v>
      </c>
      <c r="AB33" s="50"/>
      <c r="AC33" s="50"/>
    </row>
    <row r="34" spans="2:27" ht="14.25" thickBot="1" thickTop="1">
      <c r="B34" s="7" t="s">
        <v>38</v>
      </c>
      <c r="C34" s="39" t="s">
        <v>30</v>
      </c>
      <c r="D34" s="39" t="s">
        <v>30</v>
      </c>
      <c r="E34" s="40">
        <v>-3.3</v>
      </c>
      <c r="F34" s="40">
        <v>-3.2</v>
      </c>
      <c r="G34" s="28">
        <v>-3.2</v>
      </c>
      <c r="H34" s="28">
        <v>-3.3</v>
      </c>
      <c r="I34" s="49">
        <v>-3.3</v>
      </c>
      <c r="J34" s="49">
        <v>-3.3</v>
      </c>
      <c r="K34" s="61">
        <v>-3.3</v>
      </c>
      <c r="L34" s="41" t="s">
        <v>30</v>
      </c>
      <c r="M34" s="40" t="s">
        <v>30</v>
      </c>
      <c r="N34" s="28">
        <v>-2.9</v>
      </c>
      <c r="O34" s="28">
        <v>-3</v>
      </c>
      <c r="P34" s="49">
        <v>-3</v>
      </c>
      <c r="Q34" s="49">
        <v>-3</v>
      </c>
      <c r="R34" s="61">
        <v>-3</v>
      </c>
      <c r="S34" s="28" t="s">
        <v>30</v>
      </c>
      <c r="T34" s="28" t="s">
        <v>30</v>
      </c>
      <c r="U34" s="49">
        <v>-2.4</v>
      </c>
      <c r="V34" s="49">
        <v>-2.4</v>
      </c>
      <c r="W34" s="61">
        <v>-2.4</v>
      </c>
      <c r="X34" s="49" t="s">
        <v>30</v>
      </c>
      <c r="Y34" s="49" t="s">
        <v>30</v>
      </c>
      <c r="Z34" s="61">
        <v>-1.7</v>
      </c>
      <c r="AA34" s="62" t="s">
        <v>30</v>
      </c>
    </row>
    <row r="35" spans="2:27" s="1" customFormat="1" ht="14.25" thickBot="1" thickTop="1">
      <c r="B35" s="7" t="s">
        <v>29</v>
      </c>
      <c r="C35" s="39" t="s">
        <v>30</v>
      </c>
      <c r="D35" s="39" t="s">
        <v>30</v>
      </c>
      <c r="E35" s="40">
        <v>-3</v>
      </c>
      <c r="F35" s="40">
        <v>-2.9</v>
      </c>
      <c r="G35" s="28">
        <v>-2.9</v>
      </c>
      <c r="H35" s="28">
        <v>-3</v>
      </c>
      <c r="I35" s="49">
        <v>-3</v>
      </c>
      <c r="J35" s="49">
        <v>-3</v>
      </c>
      <c r="K35" s="61">
        <v>-3</v>
      </c>
      <c r="L35" s="41" t="s">
        <v>30</v>
      </c>
      <c r="M35" s="40" t="s">
        <v>30</v>
      </c>
      <c r="N35" s="28">
        <v>-2.4</v>
      </c>
      <c r="O35" s="28">
        <v>-2.6</v>
      </c>
      <c r="P35" s="49">
        <v>-2.6</v>
      </c>
      <c r="Q35" s="49">
        <v>-2.6</v>
      </c>
      <c r="R35" s="61">
        <v>-2.6</v>
      </c>
      <c r="S35" s="28" t="s">
        <v>30</v>
      </c>
      <c r="T35" s="28" t="s">
        <v>30</v>
      </c>
      <c r="U35" s="49">
        <v>-2.1</v>
      </c>
      <c r="V35" s="49">
        <v>-2.1</v>
      </c>
      <c r="W35" s="61">
        <v>-2.1</v>
      </c>
      <c r="X35" s="49" t="s">
        <v>30</v>
      </c>
      <c r="Y35" s="49" t="s">
        <v>30</v>
      </c>
      <c r="Z35" s="61">
        <v>-1.5</v>
      </c>
      <c r="AA35" s="62" t="s">
        <v>30</v>
      </c>
    </row>
    <row r="36" ht="13.5" thickTop="1">
      <c r="B36" t="s">
        <v>36</v>
      </c>
    </row>
    <row r="37" ht="12.75">
      <c r="B37" t="s">
        <v>34</v>
      </c>
    </row>
    <row r="38" ht="12.75">
      <c r="B38" s="22" t="s">
        <v>42</v>
      </c>
    </row>
  </sheetData>
  <sheetProtection/>
  <mergeCells count="4">
    <mergeCell ref="S5:W5"/>
    <mergeCell ref="X5:Z5"/>
    <mergeCell ref="C5:K5"/>
    <mergeCell ref="L5:R5"/>
  </mergeCells>
  <printOptions horizontalCentered="1" verticalCentered="1"/>
  <pageMargins left="0.3937007874015748" right="0.3937007874015748" top="0.7086614173228347" bottom="0.2755905511811024" header="0.5118110236220472" footer="0.1968503937007874"/>
  <pageSetup horizontalDpi="120" verticalDpi="120" orientation="landscape" paperSize="9" scale="63" r:id="rId1"/>
  <headerFooter alignWithMargins="0">
    <oddFooter>&amp;RG:\Work\Ági\Eurostat\Debt&amp;Deficit\[Fájl]\&amp;A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B38"/>
  <sheetViews>
    <sheetView showGridLines="0" view="pageBreakPreview" zoomScale="75" zoomScaleSheetLayoutView="75" zoomScalePageLayoutView="0" workbookViewId="0" topLeftCell="B1">
      <pane xSplit="1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45" sqref="X45"/>
    </sheetView>
  </sheetViews>
  <sheetFormatPr defaultColWidth="9.00390625" defaultRowHeight="12.75"/>
  <cols>
    <col min="1" max="1" width="1.00390625" style="0" customWidth="1"/>
    <col min="2" max="2" width="17.00390625" style="0" customWidth="1"/>
    <col min="3" max="27" width="7.125" style="0" customWidth="1"/>
  </cols>
  <sheetData>
    <row r="2" ht="12.75">
      <c r="B2" s="5" t="s">
        <v>24</v>
      </c>
    </row>
    <row r="3" ht="13.5" thickBot="1">
      <c r="B3" s="5" t="s">
        <v>33</v>
      </c>
    </row>
    <row r="4" spans="2:27" s="5" customFormat="1" ht="26.25" thickBot="1">
      <c r="B4" s="6" t="s">
        <v>13</v>
      </c>
      <c r="C4" s="17" t="s">
        <v>35</v>
      </c>
      <c r="D4" s="11" t="s">
        <v>37</v>
      </c>
      <c r="E4" s="18" t="s">
        <v>40</v>
      </c>
      <c r="F4" s="21" t="s">
        <v>41</v>
      </c>
      <c r="G4" s="23" t="s">
        <v>43</v>
      </c>
      <c r="H4" s="29" t="s">
        <v>44</v>
      </c>
      <c r="I4" s="42" t="s">
        <v>45</v>
      </c>
      <c r="J4" s="43" t="s">
        <v>46</v>
      </c>
      <c r="K4" s="52" t="s">
        <v>47</v>
      </c>
      <c r="L4" s="18" t="s">
        <v>40</v>
      </c>
      <c r="M4" s="21" t="s">
        <v>41</v>
      </c>
      <c r="N4" s="23" t="s">
        <v>43</v>
      </c>
      <c r="O4" s="23" t="s">
        <v>44</v>
      </c>
      <c r="P4" s="42" t="s">
        <v>45</v>
      </c>
      <c r="Q4" s="43" t="s">
        <v>46</v>
      </c>
      <c r="R4" s="52" t="s">
        <v>47</v>
      </c>
      <c r="S4" s="23" t="s">
        <v>43</v>
      </c>
      <c r="T4" s="23" t="s">
        <v>44</v>
      </c>
      <c r="U4" s="42" t="s">
        <v>45</v>
      </c>
      <c r="V4" s="43" t="s">
        <v>46</v>
      </c>
      <c r="W4" s="52" t="s">
        <v>47</v>
      </c>
      <c r="X4" s="43" t="s">
        <v>45</v>
      </c>
      <c r="Y4" s="43" t="s">
        <v>46</v>
      </c>
      <c r="Z4" s="52" t="s">
        <v>47</v>
      </c>
      <c r="AA4" s="52" t="s">
        <v>47</v>
      </c>
    </row>
    <row r="5" spans="2:27" s="5" customFormat="1" ht="13.5" thickBot="1">
      <c r="B5" s="15"/>
      <c r="C5" s="63">
        <v>2013</v>
      </c>
      <c r="D5" s="64"/>
      <c r="E5" s="64"/>
      <c r="F5" s="64"/>
      <c r="G5" s="64"/>
      <c r="H5" s="64"/>
      <c r="I5" s="64"/>
      <c r="J5" s="64"/>
      <c r="K5" s="65"/>
      <c r="L5" s="63">
        <v>2014</v>
      </c>
      <c r="M5" s="64"/>
      <c r="N5" s="64"/>
      <c r="O5" s="64"/>
      <c r="P5" s="64"/>
      <c r="Q5" s="64"/>
      <c r="R5" s="65"/>
      <c r="S5" s="63">
        <v>2015</v>
      </c>
      <c r="T5" s="64"/>
      <c r="U5" s="64"/>
      <c r="V5" s="64"/>
      <c r="W5" s="65"/>
      <c r="X5" s="66">
        <v>2016</v>
      </c>
      <c r="Y5" s="67"/>
      <c r="Z5" s="68"/>
      <c r="AA5" s="53">
        <v>2017</v>
      </c>
    </row>
    <row r="6" spans="2:27" ht="12.75">
      <c r="B6" s="2" t="s">
        <v>0</v>
      </c>
      <c r="C6" s="14">
        <f>383886*100/384270</f>
        <v>99.90007026309625</v>
      </c>
      <c r="D6" s="14">
        <f>(382610/382710)*100</f>
        <v>99.97387055472812</v>
      </c>
      <c r="E6" s="20">
        <v>101.5</v>
      </c>
      <c r="F6" s="20">
        <v>104.5</v>
      </c>
      <c r="G6" s="30">
        <v>104.4</v>
      </c>
      <c r="H6" s="30">
        <v>105.1</v>
      </c>
      <c r="I6" s="44">
        <v>105.2</v>
      </c>
      <c r="J6" s="44">
        <v>105.4</v>
      </c>
      <c r="K6" s="54">
        <v>105.6</v>
      </c>
      <c r="L6" s="20">
        <f>397693*100/391902</f>
        <v>101.47766533470102</v>
      </c>
      <c r="M6" s="20">
        <v>105.6</v>
      </c>
      <c r="N6" s="30">
        <v>106.5</v>
      </c>
      <c r="O6" s="30">
        <v>106.7</v>
      </c>
      <c r="P6" s="44">
        <v>106.5</v>
      </c>
      <c r="Q6" s="44">
        <v>106.5</v>
      </c>
      <c r="R6" s="54">
        <v>106.7</v>
      </c>
      <c r="S6" s="30">
        <v>106.9</v>
      </c>
      <c r="T6" s="30">
        <v>107.2</v>
      </c>
      <c r="U6" s="44">
        <v>106</v>
      </c>
      <c r="V6" s="44">
        <v>105.8</v>
      </c>
      <c r="W6" s="54">
        <v>106</v>
      </c>
      <c r="X6" s="44">
        <v>106.3</v>
      </c>
      <c r="Y6" s="44">
        <v>106.7</v>
      </c>
      <c r="Z6" s="54">
        <v>105.9</v>
      </c>
      <c r="AA6" s="58">
        <v>105.6</v>
      </c>
    </row>
    <row r="7" spans="2:27" ht="12.75">
      <c r="B7" s="4" t="s">
        <v>1</v>
      </c>
      <c r="C7" s="10">
        <f>816987*100/1862387</f>
        <v>43.86773533105633</v>
      </c>
      <c r="D7" s="10">
        <f>812654*100/1852123</f>
        <v>43.876891545539905</v>
      </c>
      <c r="E7" s="33">
        <v>44.5</v>
      </c>
      <c r="F7" s="33">
        <v>45</v>
      </c>
      <c r="G7" s="27">
        <v>45</v>
      </c>
      <c r="H7" s="27">
        <v>45</v>
      </c>
      <c r="I7" s="45">
        <v>44.7</v>
      </c>
      <c r="J7" s="45">
        <v>44.7</v>
      </c>
      <c r="K7" s="55">
        <v>44</v>
      </c>
      <c r="L7" s="33">
        <f>825901*100/1913147</f>
        <v>43.16976165448865</v>
      </c>
      <c r="M7" s="33">
        <v>44.6</v>
      </c>
      <c r="N7" s="27">
        <v>45.2</v>
      </c>
      <c r="O7" s="27">
        <v>45.1</v>
      </c>
      <c r="P7" s="45">
        <v>44.8</v>
      </c>
      <c r="Q7" s="45">
        <v>44.8</v>
      </c>
      <c r="R7" s="55">
        <v>44</v>
      </c>
      <c r="S7" s="27">
        <v>39.8</v>
      </c>
      <c r="T7" s="27">
        <v>39.8</v>
      </c>
      <c r="U7" s="45">
        <v>40.2</v>
      </c>
      <c r="V7" s="45">
        <v>40.4</v>
      </c>
      <c r="W7" s="55">
        <v>39.6</v>
      </c>
      <c r="X7" s="45">
        <v>38.4</v>
      </c>
      <c r="Y7" s="45">
        <v>38.7</v>
      </c>
      <c r="Z7" s="55">
        <v>37.8</v>
      </c>
      <c r="AA7" s="55">
        <v>37.6</v>
      </c>
    </row>
    <row r="8" spans="2:27" ht="12.75">
      <c r="B8" s="4" t="s">
        <v>2</v>
      </c>
      <c r="C8" s="13">
        <f>2173170*100/2703412</f>
        <v>80.38619344739166</v>
      </c>
      <c r="D8" s="13">
        <f>2169582*100/2724612</f>
        <v>79.62902607784154</v>
      </c>
      <c r="E8" s="19">
        <v>78.4</v>
      </c>
      <c r="F8" s="37">
        <v>76.9</v>
      </c>
      <c r="G8" s="26">
        <v>77.1</v>
      </c>
      <c r="H8" s="26">
        <v>77.4</v>
      </c>
      <c r="I8" s="44">
        <v>77.2</v>
      </c>
      <c r="J8" s="44">
        <v>77.5</v>
      </c>
      <c r="K8" s="56">
        <v>77.5</v>
      </c>
      <c r="L8" s="19">
        <f>2146594*100/2831866</f>
        <v>75.80139738250327</v>
      </c>
      <c r="M8" s="19">
        <v>73.8</v>
      </c>
      <c r="N8" s="26">
        <v>74.7</v>
      </c>
      <c r="O8" s="26">
        <v>74.9</v>
      </c>
      <c r="P8" s="44">
        <v>74.7</v>
      </c>
      <c r="Q8" s="44">
        <v>74.9</v>
      </c>
      <c r="R8" s="56">
        <v>74.9</v>
      </c>
      <c r="S8" s="26">
        <v>71.4</v>
      </c>
      <c r="T8" s="26">
        <v>71.4</v>
      </c>
      <c r="U8" s="44">
        <v>71.2</v>
      </c>
      <c r="V8" s="44">
        <v>71.2</v>
      </c>
      <c r="W8" s="56">
        <v>71.2</v>
      </c>
      <c r="X8" s="44">
        <v>68.2</v>
      </c>
      <c r="Y8" s="44">
        <v>68.2</v>
      </c>
      <c r="Z8" s="56">
        <v>68.3</v>
      </c>
      <c r="AA8" s="56">
        <v>66.3</v>
      </c>
    </row>
    <row r="9" spans="2:27" ht="12.75">
      <c r="B9" s="4" t="s">
        <v>3</v>
      </c>
      <c r="C9" s="12">
        <f>318830*100/183500</f>
        <v>173.7493188010899</v>
      </c>
      <c r="D9" s="12">
        <f>321000*100/182911</f>
        <v>175.49518618344442</v>
      </c>
      <c r="E9" s="34">
        <v>175.1</v>
      </c>
      <c r="F9" s="34">
        <v>174.9</v>
      </c>
      <c r="G9" s="31">
        <v>175</v>
      </c>
      <c r="H9" s="31">
        <v>177</v>
      </c>
      <c r="I9" s="48">
        <v>177.7</v>
      </c>
      <c r="J9" s="48">
        <v>177.4</v>
      </c>
      <c r="K9" s="57">
        <v>177.4</v>
      </c>
      <c r="L9" s="34">
        <f>320000*100/181872</f>
        <v>175.9479194158529</v>
      </c>
      <c r="M9" s="34">
        <v>174.3</v>
      </c>
      <c r="N9" s="31">
        <v>177.1</v>
      </c>
      <c r="O9" s="31">
        <v>178.6</v>
      </c>
      <c r="P9" s="48">
        <v>180.1</v>
      </c>
      <c r="Q9" s="48">
        <v>179.7</v>
      </c>
      <c r="R9" s="57">
        <v>179.7</v>
      </c>
      <c r="S9" s="31">
        <v>171.4</v>
      </c>
      <c r="T9" s="31">
        <v>182.4</v>
      </c>
      <c r="U9" s="48">
        <v>176.9</v>
      </c>
      <c r="V9" s="48">
        <v>177.4</v>
      </c>
      <c r="W9" s="57">
        <v>177.4</v>
      </c>
      <c r="X9" s="48">
        <v>183.6</v>
      </c>
      <c r="Y9" s="48">
        <v>178.9</v>
      </c>
      <c r="Z9" s="57">
        <v>179</v>
      </c>
      <c r="AA9" s="57">
        <v>174.1</v>
      </c>
    </row>
    <row r="10" spans="2:27" ht="12.75">
      <c r="B10" s="4" t="s">
        <v>4</v>
      </c>
      <c r="C10" s="13">
        <f>960000*100/1062900</f>
        <v>90.31893875246966</v>
      </c>
      <c r="D10" s="13">
        <f>967506*100/1026156</f>
        <v>94.28449475518342</v>
      </c>
      <c r="E10" s="19">
        <v>93.9</v>
      </c>
      <c r="F10" s="19">
        <v>92.1</v>
      </c>
      <c r="G10" s="26">
        <v>92.1</v>
      </c>
      <c r="H10" s="26">
        <v>93.7</v>
      </c>
      <c r="I10" s="44">
        <v>93.7</v>
      </c>
      <c r="J10" s="44">
        <v>95.4</v>
      </c>
      <c r="K10" s="56">
        <v>95.5</v>
      </c>
      <c r="L10" s="19">
        <f>1041866*100/1047385</f>
        <v>99.47306864238078</v>
      </c>
      <c r="M10" s="19">
        <v>97.6</v>
      </c>
      <c r="N10" s="26">
        <v>97.7</v>
      </c>
      <c r="O10" s="26">
        <v>99.3</v>
      </c>
      <c r="P10" s="44">
        <v>99.3</v>
      </c>
      <c r="Q10" s="44">
        <v>100.4</v>
      </c>
      <c r="R10" s="56">
        <v>100.4</v>
      </c>
      <c r="S10" s="26">
        <v>99.7</v>
      </c>
      <c r="T10" s="26">
        <v>99.7</v>
      </c>
      <c r="U10" s="44">
        <v>99.2</v>
      </c>
      <c r="V10" s="44">
        <v>99.8</v>
      </c>
      <c r="W10" s="56">
        <v>99.8</v>
      </c>
      <c r="X10" s="44">
        <v>98.7</v>
      </c>
      <c r="Y10" s="44">
        <v>99.6</v>
      </c>
      <c r="Z10" s="56">
        <v>99.4</v>
      </c>
      <c r="AA10" s="56">
        <v>98.8</v>
      </c>
    </row>
    <row r="11" spans="2:27" ht="12.75">
      <c r="B11" s="4" t="s">
        <v>5</v>
      </c>
      <c r="C11" s="10">
        <f>1934596*100/2067447</f>
        <v>93.5741520822541</v>
      </c>
      <c r="D11" s="10">
        <f>1931870*100/2068316</f>
        <v>93.40303899404152</v>
      </c>
      <c r="E11" s="33">
        <v>93.5</v>
      </c>
      <c r="F11" s="33">
        <v>92.2</v>
      </c>
      <c r="G11" s="27">
        <v>92.3</v>
      </c>
      <c r="H11" s="27">
        <v>92.3</v>
      </c>
      <c r="I11" s="46">
        <v>92.4</v>
      </c>
      <c r="J11" s="46">
        <v>92.3</v>
      </c>
      <c r="K11" s="55">
        <v>92.3</v>
      </c>
      <c r="L11" s="33">
        <f>2013353*100/2105160</f>
        <v>95.63895380873663</v>
      </c>
      <c r="M11" s="33">
        <v>95.3</v>
      </c>
      <c r="N11" s="27">
        <v>95</v>
      </c>
      <c r="O11" s="27">
        <v>95.6</v>
      </c>
      <c r="P11" s="46">
        <v>95.4</v>
      </c>
      <c r="Q11" s="46">
        <v>95.3</v>
      </c>
      <c r="R11" s="55">
        <v>94.9</v>
      </c>
      <c r="S11" s="27">
        <v>96.3</v>
      </c>
      <c r="T11" s="27">
        <v>96.3</v>
      </c>
      <c r="U11" s="46">
        <v>95.8</v>
      </c>
      <c r="V11" s="46">
        <v>96.2</v>
      </c>
      <c r="W11" s="55">
        <v>95.6</v>
      </c>
      <c r="X11" s="46" t="s">
        <v>30</v>
      </c>
      <c r="Y11" s="46">
        <v>96.1</v>
      </c>
      <c r="Z11" s="55">
        <v>96</v>
      </c>
      <c r="AA11" s="55">
        <v>96</v>
      </c>
    </row>
    <row r="12" spans="2:28" ht="12.75">
      <c r="B12" s="4" t="s">
        <v>6</v>
      </c>
      <c r="C12" s="13">
        <f>207000*100/167900</f>
        <v>123.28767123287672</v>
      </c>
      <c r="D12" s="13">
        <f>205890*100/165875</f>
        <v>124.12358703843256</v>
      </c>
      <c r="E12" s="19">
        <v>123.7</v>
      </c>
      <c r="F12" s="19">
        <v>123.3</v>
      </c>
      <c r="G12" s="26">
        <v>123.2</v>
      </c>
      <c r="H12" s="26">
        <v>120</v>
      </c>
      <c r="I12" s="45">
        <v>120</v>
      </c>
      <c r="J12" s="45">
        <v>119.5</v>
      </c>
      <c r="K12" s="56">
        <v>119.5</v>
      </c>
      <c r="L12" s="19">
        <f>204375*100/168385</f>
        <v>121.37363779434035</v>
      </c>
      <c r="M12" s="19">
        <v>110.5</v>
      </c>
      <c r="N12" s="26">
        <v>109.2</v>
      </c>
      <c r="O12" s="26">
        <v>107.5</v>
      </c>
      <c r="P12" s="45">
        <v>107.5</v>
      </c>
      <c r="Q12" s="45">
        <v>105.2</v>
      </c>
      <c r="R12" s="56">
        <v>105.3</v>
      </c>
      <c r="S12" s="26">
        <v>105.5</v>
      </c>
      <c r="T12" s="26">
        <v>96.7</v>
      </c>
      <c r="U12" s="45">
        <v>93.8</v>
      </c>
      <c r="V12" s="45">
        <v>78.6</v>
      </c>
      <c r="W12" s="56">
        <v>78.7</v>
      </c>
      <c r="X12" s="45">
        <v>88.8</v>
      </c>
      <c r="Y12" s="45">
        <v>76.1</v>
      </c>
      <c r="Z12" s="56">
        <v>75.4</v>
      </c>
      <c r="AA12" s="56">
        <v>72.9</v>
      </c>
      <c r="AB12" s="50"/>
    </row>
    <row r="13" spans="2:27" ht="12.75">
      <c r="B13" s="4" t="s">
        <v>7</v>
      </c>
      <c r="C13" s="10">
        <f>2051352*100/1573233</f>
        <v>130.3908575525685</v>
      </c>
      <c r="D13" s="10">
        <f>2069470*100/1557307</f>
        <v>132.88773504517735</v>
      </c>
      <c r="E13" s="33">
        <v>132.6</v>
      </c>
      <c r="F13" s="33">
        <v>127.9</v>
      </c>
      <c r="G13" s="27">
        <v>128.5</v>
      </c>
      <c r="H13" s="27">
        <v>128.8</v>
      </c>
      <c r="I13" s="46">
        <v>129</v>
      </c>
      <c r="J13" s="46">
        <v>129</v>
      </c>
      <c r="K13" s="55">
        <v>129</v>
      </c>
      <c r="L13" s="33">
        <f>2141454*100/1587053</f>
        <v>134.93273381544284</v>
      </c>
      <c r="M13" s="33">
        <v>131.6</v>
      </c>
      <c r="N13" s="27">
        <v>132.1</v>
      </c>
      <c r="O13" s="27">
        <v>132.3</v>
      </c>
      <c r="P13" s="46">
        <v>132.5</v>
      </c>
      <c r="Q13" s="46">
        <v>131.9</v>
      </c>
      <c r="R13" s="55">
        <v>131.8</v>
      </c>
      <c r="S13" s="27">
        <v>132.5</v>
      </c>
      <c r="T13" s="27">
        <v>132.8</v>
      </c>
      <c r="U13" s="46">
        <v>132.7</v>
      </c>
      <c r="V13" s="46">
        <v>132.3</v>
      </c>
      <c r="W13" s="55">
        <v>132.1</v>
      </c>
      <c r="X13" s="46">
        <v>132.4</v>
      </c>
      <c r="Y13" s="46" t="s">
        <v>30</v>
      </c>
      <c r="Z13" s="55">
        <v>132.6</v>
      </c>
      <c r="AA13" s="55">
        <v>132.5</v>
      </c>
    </row>
    <row r="14" spans="2:27" ht="12.75">
      <c r="B14" s="4" t="s">
        <v>27</v>
      </c>
      <c r="C14" s="13">
        <f>10903*100/45554</f>
        <v>23.934231900601485</v>
      </c>
      <c r="D14" s="13">
        <f>11046*100/44274</f>
        <v>24.94918010570538</v>
      </c>
      <c r="E14" s="19">
        <v>23.1</v>
      </c>
      <c r="F14" s="19">
        <v>23.6</v>
      </c>
      <c r="G14" s="26">
        <v>24</v>
      </c>
      <c r="H14" s="26">
        <v>23.4</v>
      </c>
      <c r="I14" s="46">
        <v>23.3</v>
      </c>
      <c r="J14" s="46">
        <v>23.5</v>
      </c>
      <c r="K14" s="56">
        <v>23.4</v>
      </c>
      <c r="L14" s="19">
        <f>11628*100/48802</f>
        <v>23.826892340477848</v>
      </c>
      <c r="M14" s="19">
        <v>24.1</v>
      </c>
      <c r="N14" s="26">
        <v>23.6</v>
      </c>
      <c r="O14" s="26">
        <v>23</v>
      </c>
      <c r="P14" s="46">
        <v>22.9</v>
      </c>
      <c r="Q14" s="46">
        <v>22.7</v>
      </c>
      <c r="R14" s="56">
        <v>22.4</v>
      </c>
      <c r="S14" s="26">
        <v>24.8</v>
      </c>
      <c r="T14" s="26">
        <v>22.3</v>
      </c>
      <c r="U14" s="46">
        <v>21.4</v>
      </c>
      <c r="V14" s="46">
        <v>22.1</v>
      </c>
      <c r="W14" s="56">
        <v>21.6</v>
      </c>
      <c r="X14" s="46">
        <v>23.3</v>
      </c>
      <c r="Y14" s="46">
        <v>23.2</v>
      </c>
      <c r="Z14" s="56">
        <v>20</v>
      </c>
      <c r="AA14" s="56">
        <v>22.2</v>
      </c>
    </row>
    <row r="15" spans="2:27" ht="12.75">
      <c r="B15" s="4" t="s">
        <v>8</v>
      </c>
      <c r="C15" s="14">
        <f>451281*100/610020</f>
        <v>73.97806629290842</v>
      </c>
      <c r="D15" s="14">
        <f>451281*100/601553</f>
        <v>75.01932498050878</v>
      </c>
      <c r="E15" s="20">
        <v>73.5</v>
      </c>
      <c r="F15" s="20">
        <v>68.6</v>
      </c>
      <c r="G15" s="30">
        <v>68.6</v>
      </c>
      <c r="H15" s="30">
        <v>67.9</v>
      </c>
      <c r="I15" s="45">
        <v>67.9</v>
      </c>
      <c r="J15" s="45">
        <v>67.7</v>
      </c>
      <c r="K15" s="58">
        <v>67.7</v>
      </c>
      <c r="L15" s="20">
        <f>459553*100/615440</f>
        <v>74.6706421422072</v>
      </c>
      <c r="M15" s="20">
        <v>69.8</v>
      </c>
      <c r="N15" s="30">
        <v>68.8</v>
      </c>
      <c r="O15" s="30">
        <v>68.2</v>
      </c>
      <c r="P15" s="45">
        <v>68.2</v>
      </c>
      <c r="Q15" s="45">
        <v>67.9</v>
      </c>
      <c r="R15" s="58">
        <v>67.9</v>
      </c>
      <c r="S15" s="30">
        <v>68.8</v>
      </c>
      <c r="T15" s="30">
        <v>67.2</v>
      </c>
      <c r="U15" s="45">
        <v>65.1</v>
      </c>
      <c r="V15" s="45">
        <v>65.1</v>
      </c>
      <c r="W15" s="58">
        <v>65.2</v>
      </c>
      <c r="X15" s="45">
        <v>65.4</v>
      </c>
      <c r="Y15" s="45">
        <v>63.4</v>
      </c>
      <c r="Z15" s="58">
        <v>62.3</v>
      </c>
      <c r="AA15" s="58">
        <v>58.5</v>
      </c>
    </row>
    <row r="16" spans="2:27" ht="12.75">
      <c r="B16" s="4" t="s">
        <v>9</v>
      </c>
      <c r="C16" s="10">
        <f>234987*100/319145</f>
        <v>73.63016810540664</v>
      </c>
      <c r="D16" s="10">
        <f>235000*100/314900</f>
        <v>74.6268656716418</v>
      </c>
      <c r="E16" s="33">
        <v>74.5</v>
      </c>
      <c r="F16" s="33">
        <v>81.2</v>
      </c>
      <c r="G16" s="27">
        <v>80.9</v>
      </c>
      <c r="H16" s="27">
        <v>80.8</v>
      </c>
      <c r="I16" s="44">
        <v>80.8</v>
      </c>
      <c r="J16" s="44">
        <v>81.3</v>
      </c>
      <c r="K16" s="55">
        <v>81.3</v>
      </c>
      <c r="L16" s="33">
        <f>256800*100/324142</f>
        <v>79.22453739410506</v>
      </c>
      <c r="M16" s="33">
        <v>86.5</v>
      </c>
      <c r="N16" s="27">
        <v>84.5</v>
      </c>
      <c r="O16" s="27">
        <v>84.2</v>
      </c>
      <c r="P16" s="44">
        <v>84.3</v>
      </c>
      <c r="Q16" s="44">
        <v>84.4</v>
      </c>
      <c r="R16" s="55">
        <v>84.4</v>
      </c>
      <c r="S16" s="27">
        <v>86.8</v>
      </c>
      <c r="T16" s="27">
        <v>86.5</v>
      </c>
      <c r="U16" s="44">
        <v>86.2</v>
      </c>
      <c r="V16" s="44">
        <v>85.5</v>
      </c>
      <c r="W16" s="55">
        <v>85.5</v>
      </c>
      <c r="X16" s="44">
        <v>84.4</v>
      </c>
      <c r="Y16" s="44">
        <v>83.2</v>
      </c>
      <c r="Z16" s="55">
        <v>84.6</v>
      </c>
      <c r="AA16" s="55">
        <v>80.8</v>
      </c>
    </row>
    <row r="17" spans="2:27" ht="12.75">
      <c r="B17" s="4" t="s">
        <v>10</v>
      </c>
      <c r="C17" s="13">
        <f>201112*100/164338</f>
        <v>122.3770521729606</v>
      </c>
      <c r="D17" s="13">
        <f>211357*100/165379</f>
        <v>127.80159512392747</v>
      </c>
      <c r="E17" s="19">
        <v>129</v>
      </c>
      <c r="F17" s="19">
        <v>128</v>
      </c>
      <c r="G17" s="26">
        <v>129.7</v>
      </c>
      <c r="H17" s="26">
        <v>129</v>
      </c>
      <c r="I17" s="45">
        <v>129</v>
      </c>
      <c r="J17" s="45">
        <v>129</v>
      </c>
      <c r="K17" s="56">
        <v>129</v>
      </c>
      <c r="L17" s="19">
        <f>214229*100/168955</f>
        <v>126.79648427095972</v>
      </c>
      <c r="M17" s="19">
        <v>127.8</v>
      </c>
      <c r="N17" s="26">
        <v>130.2</v>
      </c>
      <c r="O17" s="26">
        <v>130.2</v>
      </c>
      <c r="P17" s="45">
        <v>130.2</v>
      </c>
      <c r="Q17" s="45">
        <v>130.6</v>
      </c>
      <c r="R17" s="56">
        <v>130.6</v>
      </c>
      <c r="S17" s="26">
        <v>125.4</v>
      </c>
      <c r="T17" s="26">
        <v>125.2</v>
      </c>
      <c r="U17" s="45">
        <v>129</v>
      </c>
      <c r="V17" s="45">
        <v>129</v>
      </c>
      <c r="W17" s="56">
        <v>129</v>
      </c>
      <c r="X17" s="45">
        <v>127.7</v>
      </c>
      <c r="Y17" s="45">
        <v>124.8</v>
      </c>
      <c r="Z17" s="56">
        <v>130.4</v>
      </c>
      <c r="AA17" s="56">
        <v>128.5</v>
      </c>
    </row>
    <row r="18" spans="2:27" ht="12.75">
      <c r="B18" s="4" t="s">
        <v>11</v>
      </c>
      <c r="C18" s="10">
        <f>112760*100/200155</f>
        <v>56.33633933701381</v>
      </c>
      <c r="D18" s="10">
        <f>113931*100/195339</f>
        <v>58.32475849676716</v>
      </c>
      <c r="E18" s="33">
        <v>57</v>
      </c>
      <c r="F18" s="33">
        <v>56</v>
      </c>
      <c r="G18" s="27">
        <v>55.8</v>
      </c>
      <c r="H18" s="27">
        <v>55.6</v>
      </c>
      <c r="I18" s="44">
        <v>55.5</v>
      </c>
      <c r="J18" s="44">
        <v>56.5</v>
      </c>
      <c r="K18" s="55">
        <v>56.5</v>
      </c>
      <c r="L18" s="33">
        <f>118995*100/197423</f>
        <v>60.27413219331081</v>
      </c>
      <c r="M18" s="33">
        <v>59.6</v>
      </c>
      <c r="N18" s="27">
        <v>59.3</v>
      </c>
      <c r="O18" s="27">
        <v>59.3</v>
      </c>
      <c r="P18" s="44">
        <v>59.3</v>
      </c>
      <c r="Q18" s="44">
        <v>60.2</v>
      </c>
      <c r="R18" s="55">
        <v>60.2</v>
      </c>
      <c r="S18" s="27">
        <v>62.5</v>
      </c>
      <c r="T18" s="27">
        <v>62.6</v>
      </c>
      <c r="U18" s="44">
        <v>63.1</v>
      </c>
      <c r="V18" s="44">
        <v>63.6</v>
      </c>
      <c r="W18" s="55">
        <v>63.7</v>
      </c>
      <c r="X18" s="44">
        <v>65</v>
      </c>
      <c r="Y18" s="44">
        <v>65.3</v>
      </c>
      <c r="Z18" s="55">
        <v>63.6</v>
      </c>
      <c r="AA18" s="55">
        <v>63.6</v>
      </c>
    </row>
    <row r="19" spans="2:27" ht="12.75">
      <c r="B19" s="4" t="s">
        <v>12</v>
      </c>
      <c r="C19" s="13">
        <f>1528538*100/3638695</f>
        <v>42.00786270902068</v>
      </c>
      <c r="D19" s="13">
        <f>1520574*100/3625886</f>
        <v>41.9366190773786</v>
      </c>
      <c r="E19" s="19">
        <v>40.6</v>
      </c>
      <c r="F19" s="19">
        <v>38.6</v>
      </c>
      <c r="G19" s="26">
        <v>38.7</v>
      </c>
      <c r="H19" s="26">
        <v>39.8</v>
      </c>
      <c r="I19" s="45">
        <v>39.8</v>
      </c>
      <c r="J19" s="45">
        <v>40.4</v>
      </c>
      <c r="K19" s="56">
        <v>40.4</v>
      </c>
      <c r="L19" s="19">
        <f>1560944*100/3783478</f>
        <v>41.2568541431984</v>
      </c>
      <c r="M19" s="19">
        <v>40.2</v>
      </c>
      <c r="N19" s="26">
        <v>43.9</v>
      </c>
      <c r="O19" s="26">
        <v>44.9</v>
      </c>
      <c r="P19" s="45">
        <v>44.8</v>
      </c>
      <c r="Q19" s="45">
        <v>45.2</v>
      </c>
      <c r="R19" s="56">
        <v>45.2</v>
      </c>
      <c r="S19" s="26">
        <v>44.2</v>
      </c>
      <c r="T19" s="26">
        <v>43.8</v>
      </c>
      <c r="U19" s="45">
        <v>43.4</v>
      </c>
      <c r="V19" s="45">
        <v>43.9</v>
      </c>
      <c r="W19" s="56">
        <v>43.9</v>
      </c>
      <c r="X19" s="45">
        <v>42.5</v>
      </c>
      <c r="Y19" s="45">
        <v>42</v>
      </c>
      <c r="Z19" s="56">
        <v>41.6</v>
      </c>
      <c r="AA19" s="56">
        <v>39.5</v>
      </c>
    </row>
    <row r="20" spans="2:27" ht="12.75">
      <c r="B20" s="2" t="s">
        <v>31</v>
      </c>
      <c r="C20" s="35" t="s">
        <v>30</v>
      </c>
      <c r="D20" s="10">
        <f>1401579*100/1545755</f>
        <v>90.67277802756581</v>
      </c>
      <c r="E20" s="33">
        <v>90.6</v>
      </c>
      <c r="F20" s="33">
        <v>87.2</v>
      </c>
      <c r="G20" s="27">
        <v>87.3</v>
      </c>
      <c r="H20" s="27">
        <v>86.2</v>
      </c>
      <c r="I20" s="44">
        <v>86.2</v>
      </c>
      <c r="J20" s="44">
        <v>86.2</v>
      </c>
      <c r="K20" s="55">
        <v>86.2</v>
      </c>
      <c r="L20" s="36" t="s">
        <v>30</v>
      </c>
      <c r="M20" s="33">
        <v>89.1</v>
      </c>
      <c r="N20" s="27">
        <v>89.4</v>
      </c>
      <c r="O20" s="27">
        <v>88.2</v>
      </c>
      <c r="P20" s="44">
        <v>88.2</v>
      </c>
      <c r="Q20" s="44">
        <v>88.1</v>
      </c>
      <c r="R20" s="55">
        <v>88.1</v>
      </c>
      <c r="S20" s="27" t="s">
        <v>30</v>
      </c>
      <c r="T20" s="27" t="s">
        <v>30</v>
      </c>
      <c r="U20" s="44">
        <v>89.2</v>
      </c>
      <c r="V20" s="44">
        <v>89.1</v>
      </c>
      <c r="W20" s="55">
        <v>89</v>
      </c>
      <c r="X20" s="44" t="s">
        <v>30</v>
      </c>
      <c r="Y20" s="44">
        <v>88.4</v>
      </c>
      <c r="Z20" s="55">
        <v>89.3</v>
      </c>
      <c r="AA20" s="55" t="s">
        <v>30</v>
      </c>
    </row>
    <row r="21" spans="2:27" ht="12.75">
      <c r="B21" s="2" t="s">
        <v>25</v>
      </c>
      <c r="C21" s="13">
        <f>15880*100/16400</f>
        <v>96.82926829268293</v>
      </c>
      <c r="D21" s="13">
        <f>18767*100/16400</f>
        <v>114.4329268292683</v>
      </c>
      <c r="E21" s="19">
        <v>111.7</v>
      </c>
      <c r="F21" s="19">
        <v>102.2</v>
      </c>
      <c r="G21" s="26">
        <v>102.2</v>
      </c>
      <c r="H21" s="26">
        <v>102.5</v>
      </c>
      <c r="I21" s="45">
        <v>102.5</v>
      </c>
      <c r="J21" s="45">
        <v>102.2</v>
      </c>
      <c r="K21" s="56">
        <v>102.2</v>
      </c>
      <c r="L21" s="19">
        <f>18567*100/15873</f>
        <v>116.97221697221697</v>
      </c>
      <c r="M21" s="19">
        <v>103.2</v>
      </c>
      <c r="N21" s="26">
        <v>107.5</v>
      </c>
      <c r="O21" s="26">
        <v>108.2</v>
      </c>
      <c r="P21" s="45">
        <v>108.2</v>
      </c>
      <c r="Q21" s="45">
        <v>107.1</v>
      </c>
      <c r="R21" s="56">
        <v>107.1</v>
      </c>
      <c r="S21" s="26">
        <v>103.8</v>
      </c>
      <c r="T21" s="26">
        <v>106.3</v>
      </c>
      <c r="U21" s="45">
        <v>108.9</v>
      </c>
      <c r="V21" s="45">
        <v>107.5</v>
      </c>
      <c r="W21" s="56">
        <v>107.5</v>
      </c>
      <c r="X21" s="45">
        <v>104.1</v>
      </c>
      <c r="Y21" s="45">
        <v>107</v>
      </c>
      <c r="Z21" s="56">
        <v>107.8</v>
      </c>
      <c r="AA21" s="56">
        <v>103.3</v>
      </c>
    </row>
    <row r="22" spans="2:27" ht="12.75">
      <c r="B22" s="4" t="s">
        <v>26</v>
      </c>
      <c r="C22" s="10">
        <f>1872243*100/3858260</f>
        <v>48.52557888789247</v>
      </c>
      <c r="D22" s="10">
        <f>1774743*100/3821677</f>
        <v>46.43885393768233</v>
      </c>
      <c r="E22" s="33">
        <v>46</v>
      </c>
      <c r="F22" s="33">
        <v>45.7</v>
      </c>
      <c r="G22" s="27">
        <v>45</v>
      </c>
      <c r="H22" s="27">
        <v>45.2</v>
      </c>
      <c r="I22" s="44">
        <v>45.1</v>
      </c>
      <c r="J22" s="44">
        <v>44.9</v>
      </c>
      <c r="K22" s="55">
        <v>44.9</v>
      </c>
      <c r="L22" s="33">
        <f>1768436*100/4022808</f>
        <v>43.96023871882526</v>
      </c>
      <c r="M22" s="33">
        <v>44.1</v>
      </c>
      <c r="N22" s="27">
        <v>42.6</v>
      </c>
      <c r="O22" s="27">
        <v>42.7</v>
      </c>
      <c r="P22" s="44">
        <v>42.7</v>
      </c>
      <c r="Q22" s="44">
        <v>42.2</v>
      </c>
      <c r="R22" s="55">
        <v>42.2</v>
      </c>
      <c r="S22" s="27">
        <v>40.9</v>
      </c>
      <c r="T22" s="27">
        <v>40.8</v>
      </c>
      <c r="U22" s="44">
        <v>41.1</v>
      </c>
      <c r="V22" s="44">
        <v>40.3</v>
      </c>
      <c r="W22" s="55">
        <v>40.3</v>
      </c>
      <c r="X22" s="44">
        <v>41.1</v>
      </c>
      <c r="Y22" s="44">
        <v>38.8</v>
      </c>
      <c r="Z22" s="55">
        <v>37.2</v>
      </c>
      <c r="AA22" s="55">
        <v>36</v>
      </c>
    </row>
    <row r="23" spans="2:27" ht="12.75">
      <c r="B23" s="4" t="s">
        <v>15</v>
      </c>
      <c r="C23" s="13">
        <f>2157*100/18121</f>
        <v>11.903316594006954</v>
      </c>
      <c r="D23" s="13">
        <f>1857*100/18463</f>
        <v>10.057953745328495</v>
      </c>
      <c r="E23" s="19">
        <v>10</v>
      </c>
      <c r="F23" s="19">
        <v>10.1</v>
      </c>
      <c r="G23" s="26">
        <v>10.1</v>
      </c>
      <c r="H23" s="26">
        <v>9.9</v>
      </c>
      <c r="I23" s="45">
        <v>9.9</v>
      </c>
      <c r="J23" s="45">
        <v>10.2</v>
      </c>
      <c r="K23" s="56">
        <v>10.2</v>
      </c>
      <c r="L23" s="19">
        <f>1931*100/19338</f>
        <v>9.985520736373978</v>
      </c>
      <c r="M23" s="19">
        <v>9.8</v>
      </c>
      <c r="N23" s="26">
        <v>10.6</v>
      </c>
      <c r="O23" s="26">
        <v>10.4</v>
      </c>
      <c r="P23" s="45">
        <v>10.4</v>
      </c>
      <c r="Q23" s="45">
        <v>10.7</v>
      </c>
      <c r="R23" s="56">
        <v>10.7</v>
      </c>
      <c r="S23" s="26">
        <v>10.6</v>
      </c>
      <c r="T23" s="26">
        <v>10</v>
      </c>
      <c r="U23" s="45">
        <v>9.7</v>
      </c>
      <c r="V23" s="45">
        <v>10.1</v>
      </c>
      <c r="W23" s="56">
        <v>10.1</v>
      </c>
      <c r="X23" s="45">
        <v>9.8</v>
      </c>
      <c r="Y23" s="45">
        <v>9.4</v>
      </c>
      <c r="Z23" s="56">
        <v>9.5</v>
      </c>
      <c r="AA23" s="56">
        <v>9.4</v>
      </c>
    </row>
    <row r="24" spans="2:27" ht="12.75">
      <c r="B24" s="4" t="s">
        <v>16</v>
      </c>
      <c r="C24" s="10">
        <f>23039908*100/29482000</f>
        <v>78.14906722746082</v>
      </c>
      <c r="D24" s="10">
        <f>23132580*100/29203000</f>
        <v>79.21302605896655</v>
      </c>
      <c r="E24" s="33">
        <v>79.2</v>
      </c>
      <c r="F24" s="33">
        <v>77.3</v>
      </c>
      <c r="G24" s="27">
        <v>77.3</v>
      </c>
      <c r="H24" s="27">
        <v>76.8</v>
      </c>
      <c r="I24" s="44">
        <v>76.8</v>
      </c>
      <c r="J24" s="44">
        <v>76.6</v>
      </c>
      <c r="K24" s="55">
        <v>76.6</v>
      </c>
      <c r="L24" s="33">
        <f>24092973*100/30536000</f>
        <v>78.900225962798</v>
      </c>
      <c r="M24" s="33">
        <v>76.9</v>
      </c>
      <c r="N24" s="27">
        <v>76.9</v>
      </c>
      <c r="O24" s="27">
        <v>76.2</v>
      </c>
      <c r="P24" s="44">
        <v>76.2</v>
      </c>
      <c r="Q24" s="44">
        <v>75.7</v>
      </c>
      <c r="R24" s="55">
        <v>75.7</v>
      </c>
      <c r="S24" s="27">
        <v>76.3</v>
      </c>
      <c r="T24" s="27">
        <v>76.1</v>
      </c>
      <c r="U24" s="44">
        <v>75.3</v>
      </c>
      <c r="V24" s="44">
        <v>74.7</v>
      </c>
      <c r="W24" s="55">
        <v>74.7</v>
      </c>
      <c r="X24" s="44">
        <v>75.1</v>
      </c>
      <c r="Y24" s="44">
        <v>73.9</v>
      </c>
      <c r="Z24" s="55">
        <v>74.1</v>
      </c>
      <c r="AA24" s="55">
        <v>72</v>
      </c>
    </row>
    <row r="25" spans="2:27" ht="12.75">
      <c r="B25" s="4" t="s">
        <v>17</v>
      </c>
      <c r="C25" s="13">
        <f>47446*100/119397</f>
        <v>39.738016868095514</v>
      </c>
      <c r="D25" s="13">
        <f>47329*100/119303</f>
        <v>39.671257219013775</v>
      </c>
      <c r="E25" s="19">
        <v>39.4</v>
      </c>
      <c r="F25" s="19">
        <v>39</v>
      </c>
      <c r="G25" s="26">
        <v>38.8</v>
      </c>
      <c r="H25" s="26">
        <v>38.8</v>
      </c>
      <c r="I25" s="45">
        <v>38.8</v>
      </c>
      <c r="J25" s="45">
        <v>38.7</v>
      </c>
      <c r="K25" s="56">
        <v>38.7</v>
      </c>
      <c r="L25" s="19">
        <f>52357*100/126037</f>
        <v>41.5409760625848</v>
      </c>
      <c r="M25" s="19">
        <v>41.4</v>
      </c>
      <c r="N25" s="26">
        <v>40.9</v>
      </c>
      <c r="O25" s="26">
        <v>40.7</v>
      </c>
      <c r="P25" s="45">
        <v>40.7</v>
      </c>
      <c r="Q25" s="45">
        <v>40.5</v>
      </c>
      <c r="R25" s="56">
        <v>40.5</v>
      </c>
      <c r="S25" s="26">
        <v>44.6</v>
      </c>
      <c r="T25" s="26">
        <v>45.3</v>
      </c>
      <c r="U25" s="45">
        <v>42.7</v>
      </c>
      <c r="V25" s="45">
        <v>42.7</v>
      </c>
      <c r="W25" s="56">
        <v>42.7</v>
      </c>
      <c r="X25" s="45">
        <v>41.2</v>
      </c>
      <c r="Y25" s="45">
        <v>40.4</v>
      </c>
      <c r="Z25" s="56">
        <v>40.2</v>
      </c>
      <c r="AA25" s="56">
        <v>42.4</v>
      </c>
    </row>
    <row r="26" spans="2:27" ht="12.75">
      <c r="B26" s="4" t="s">
        <v>18</v>
      </c>
      <c r="C26" s="10">
        <f>7296*100/16382</f>
        <v>44.53668660725186</v>
      </c>
      <c r="D26" s="10">
        <f>7230*100/16333</f>
        <v>44.26620951447989</v>
      </c>
      <c r="E26" s="33">
        <v>38.1</v>
      </c>
      <c r="F26" s="33">
        <v>38.2</v>
      </c>
      <c r="G26" s="27">
        <v>38.2</v>
      </c>
      <c r="H26" s="27">
        <v>39.1</v>
      </c>
      <c r="I26" s="44">
        <v>39.1</v>
      </c>
      <c r="J26" s="44">
        <v>39</v>
      </c>
      <c r="K26" s="55">
        <v>39</v>
      </c>
      <c r="L26" s="33">
        <f>9584*100/24712</f>
        <v>38.78277759792813</v>
      </c>
      <c r="M26" s="33">
        <v>38.8</v>
      </c>
      <c r="N26" s="27">
        <v>40</v>
      </c>
      <c r="O26" s="27">
        <v>40.6</v>
      </c>
      <c r="P26" s="44">
        <v>40.8</v>
      </c>
      <c r="Q26" s="44">
        <v>40.7</v>
      </c>
      <c r="R26" s="55">
        <v>40.9</v>
      </c>
      <c r="S26" s="27">
        <v>36.8</v>
      </c>
      <c r="T26" s="27">
        <v>37.5</v>
      </c>
      <c r="U26" s="44">
        <v>36.4</v>
      </c>
      <c r="V26" s="44">
        <v>36.3</v>
      </c>
      <c r="W26" s="55">
        <v>36.5</v>
      </c>
      <c r="X26" s="44">
        <v>41.1</v>
      </c>
      <c r="Y26" s="44">
        <v>40.9</v>
      </c>
      <c r="Z26" s="55">
        <v>40.1</v>
      </c>
      <c r="AA26" s="55">
        <v>39.6</v>
      </c>
    </row>
    <row r="27" spans="2:27" ht="12.75">
      <c r="B27" s="4" t="s">
        <v>19</v>
      </c>
      <c r="C27" s="13">
        <f>5181*100/6979</f>
        <v>74.2369967043989</v>
      </c>
      <c r="D27" s="13">
        <f>5181*100/7082</f>
        <v>73.15730019768426</v>
      </c>
      <c r="E27" s="19">
        <v>73</v>
      </c>
      <c r="F27" s="19">
        <v>69.8</v>
      </c>
      <c r="G27" s="26">
        <v>69.2</v>
      </c>
      <c r="H27" s="26">
        <v>69.6</v>
      </c>
      <c r="I27" s="45">
        <v>68.6</v>
      </c>
      <c r="J27" s="45">
        <v>68.4</v>
      </c>
      <c r="K27" s="56">
        <v>68.7</v>
      </c>
      <c r="L27" s="19">
        <f>5224*100/7524</f>
        <v>69.43115364167996</v>
      </c>
      <c r="M27" s="19">
        <v>70.1</v>
      </c>
      <c r="N27" s="26">
        <v>68</v>
      </c>
      <c r="O27" s="26">
        <v>68.3</v>
      </c>
      <c r="P27" s="45">
        <v>67.1</v>
      </c>
      <c r="Q27" s="45">
        <v>67</v>
      </c>
      <c r="R27" s="56">
        <v>64.3</v>
      </c>
      <c r="S27" s="26">
        <v>66.9</v>
      </c>
      <c r="T27" s="26">
        <v>66.6</v>
      </c>
      <c r="U27" s="45">
        <v>63.9</v>
      </c>
      <c r="V27" s="45">
        <v>64</v>
      </c>
      <c r="W27" s="56">
        <v>60.6</v>
      </c>
      <c r="X27" s="45">
        <v>62.8</v>
      </c>
      <c r="Y27" s="45">
        <v>63.3</v>
      </c>
      <c r="Z27" s="56">
        <v>58.3</v>
      </c>
      <c r="AA27" s="56">
        <v>55.6</v>
      </c>
    </row>
    <row r="28" spans="2:27" ht="12.75">
      <c r="B28" s="4" t="s">
        <v>20</v>
      </c>
      <c r="C28" s="10">
        <f>916836*100/1642912</f>
        <v>55.805545275705576</v>
      </c>
      <c r="D28" s="10">
        <f>952088*100/1642912</f>
        <v>57.95124754095168</v>
      </c>
      <c r="E28" s="33">
        <v>57</v>
      </c>
      <c r="F28" s="33">
        <v>55.7</v>
      </c>
      <c r="G28" s="27">
        <v>55.7</v>
      </c>
      <c r="H28" s="27">
        <v>55.9</v>
      </c>
      <c r="I28" s="44">
        <v>56</v>
      </c>
      <c r="J28" s="44">
        <v>55.7</v>
      </c>
      <c r="K28" s="55">
        <v>55.7</v>
      </c>
      <c r="L28" s="33">
        <f>841883*100/1704568</f>
        <v>49.38981607069944</v>
      </c>
      <c r="M28" s="33">
        <v>48.7</v>
      </c>
      <c r="N28" s="27">
        <v>50.1</v>
      </c>
      <c r="O28" s="27">
        <v>50.4</v>
      </c>
      <c r="P28" s="44">
        <v>50.5</v>
      </c>
      <c r="Q28" s="44">
        <v>50.2</v>
      </c>
      <c r="R28" s="55">
        <v>50.2</v>
      </c>
      <c r="S28" s="27">
        <v>51.7</v>
      </c>
      <c r="T28" s="27">
        <v>51</v>
      </c>
      <c r="U28" s="44">
        <v>51.3</v>
      </c>
      <c r="V28" s="44">
        <v>51.1</v>
      </c>
      <c r="W28" s="55">
        <v>51.1</v>
      </c>
      <c r="X28" s="44">
        <v>52</v>
      </c>
      <c r="Y28" s="44">
        <v>53.7</v>
      </c>
      <c r="Z28" s="55">
        <v>54.4</v>
      </c>
      <c r="AA28" s="55">
        <v>55.5</v>
      </c>
    </row>
    <row r="29" spans="2:27" ht="12.75">
      <c r="B29" s="4" t="s">
        <v>22</v>
      </c>
      <c r="C29" s="13">
        <f>40431*100/74372</f>
        <v>54.363201204754475</v>
      </c>
      <c r="D29" s="13">
        <f>39802*100/72987</f>
        <v>54.53299902722403</v>
      </c>
      <c r="E29" s="19">
        <v>55.4</v>
      </c>
      <c r="F29" s="19">
        <v>54.6</v>
      </c>
      <c r="G29" s="26">
        <v>54.6</v>
      </c>
      <c r="H29" s="26">
        <v>54.6</v>
      </c>
      <c r="I29" s="45">
        <v>55</v>
      </c>
      <c r="J29" s="45">
        <v>54.7</v>
      </c>
      <c r="K29" s="56">
        <v>54.7</v>
      </c>
      <c r="L29" s="19">
        <f>42842*100/75773</f>
        <v>56.539928470563396</v>
      </c>
      <c r="M29" s="19">
        <v>54.9</v>
      </c>
      <c r="N29" s="26">
        <v>53.6</v>
      </c>
      <c r="O29" s="26">
        <v>53.5</v>
      </c>
      <c r="P29" s="45">
        <v>53.9</v>
      </c>
      <c r="Q29" s="45">
        <v>53.6</v>
      </c>
      <c r="R29" s="56">
        <v>53.6</v>
      </c>
      <c r="S29" s="26">
        <v>54.4</v>
      </c>
      <c r="T29" s="26">
        <v>52.9</v>
      </c>
      <c r="U29" s="45">
        <v>52.9</v>
      </c>
      <c r="V29" s="45">
        <v>52.5</v>
      </c>
      <c r="W29" s="56">
        <v>52.5</v>
      </c>
      <c r="X29" s="45" t="s">
        <v>30</v>
      </c>
      <c r="Y29" s="45">
        <v>53.1</v>
      </c>
      <c r="Z29" s="56">
        <v>51.9</v>
      </c>
      <c r="AA29" s="56">
        <v>52.7</v>
      </c>
    </row>
    <row r="30" spans="2:27" ht="12.75">
      <c r="B30" s="4" t="s">
        <v>23</v>
      </c>
      <c r="C30" s="10">
        <f>21105*100/35495</f>
        <v>59.459078743484994</v>
      </c>
      <c r="D30" s="10">
        <f>22044*100/34908</f>
        <v>63.148848401512545</v>
      </c>
      <c r="E30" s="33">
        <v>71.7</v>
      </c>
      <c r="F30" s="33">
        <v>70.4</v>
      </c>
      <c r="G30" s="27">
        <v>70.3</v>
      </c>
      <c r="H30" s="27">
        <v>70.8</v>
      </c>
      <c r="I30" s="44">
        <v>71</v>
      </c>
      <c r="J30" s="44">
        <v>71</v>
      </c>
      <c r="K30" s="55">
        <v>71</v>
      </c>
      <c r="L30" s="33">
        <f>28816*100/35634</f>
        <v>80.86658809002638</v>
      </c>
      <c r="M30" s="33">
        <v>82.2</v>
      </c>
      <c r="N30" s="27">
        <v>80.9</v>
      </c>
      <c r="O30" s="27">
        <v>80.8</v>
      </c>
      <c r="P30" s="44">
        <v>81</v>
      </c>
      <c r="Q30" s="44">
        <v>80.9</v>
      </c>
      <c r="R30" s="55">
        <v>80.9</v>
      </c>
      <c r="S30" s="27">
        <v>81.6</v>
      </c>
      <c r="T30" s="27">
        <v>84</v>
      </c>
      <c r="U30" s="44">
        <v>83.2</v>
      </c>
      <c r="V30" s="44">
        <v>83.1</v>
      </c>
      <c r="W30" s="55">
        <v>83.1</v>
      </c>
      <c r="X30" s="44">
        <v>79.9</v>
      </c>
      <c r="Y30" s="44">
        <v>80.2</v>
      </c>
      <c r="Z30" s="55">
        <v>79.7</v>
      </c>
      <c r="AA30" s="55">
        <v>77</v>
      </c>
    </row>
    <row r="31" spans="2:27" ht="12.75">
      <c r="B31" s="2" t="s">
        <v>14</v>
      </c>
      <c r="C31" s="13">
        <f>14312*100/79932</f>
        <v>17.905219436521044</v>
      </c>
      <c r="D31" s="13">
        <f>15267*100/78935</f>
        <v>19.34123012605308</v>
      </c>
      <c r="E31" s="19">
        <v>18.9</v>
      </c>
      <c r="F31" s="19">
        <v>18.3</v>
      </c>
      <c r="G31" s="26">
        <v>18.3</v>
      </c>
      <c r="H31" s="26">
        <v>18</v>
      </c>
      <c r="I31" s="45">
        <v>17.1</v>
      </c>
      <c r="J31" s="45">
        <v>17</v>
      </c>
      <c r="K31" s="56">
        <v>17</v>
      </c>
      <c r="L31" s="19">
        <f>18400*100/80699</f>
        <v>22.800778200473363</v>
      </c>
      <c r="M31" s="19">
        <v>27.5</v>
      </c>
      <c r="N31" s="26">
        <v>27.6</v>
      </c>
      <c r="O31" s="26">
        <v>27</v>
      </c>
      <c r="P31" s="45">
        <v>27</v>
      </c>
      <c r="Q31" s="45">
        <v>27</v>
      </c>
      <c r="R31" s="56">
        <v>27</v>
      </c>
      <c r="S31" s="26">
        <v>29.8</v>
      </c>
      <c r="T31" s="26">
        <v>27.6</v>
      </c>
      <c r="U31" s="45">
        <v>26.7</v>
      </c>
      <c r="V31" s="45">
        <v>26</v>
      </c>
      <c r="W31" s="56">
        <v>26</v>
      </c>
      <c r="X31" s="45">
        <v>31.7</v>
      </c>
      <c r="Y31" s="45">
        <v>30.9</v>
      </c>
      <c r="Z31" s="56">
        <v>29.5</v>
      </c>
      <c r="AA31" s="56">
        <v>26.4</v>
      </c>
    </row>
    <row r="32" spans="2:27" ht="12.75">
      <c r="B32" s="4" t="s">
        <v>21</v>
      </c>
      <c r="C32" s="16">
        <f>240546*100/623300</f>
        <v>38.59233114070271</v>
      </c>
      <c r="D32" s="16">
        <f>241171*100/626200</f>
        <v>38.51341424465027</v>
      </c>
      <c r="E32" s="38">
        <v>38.4</v>
      </c>
      <c r="F32" s="38">
        <v>37.9</v>
      </c>
      <c r="G32" s="32">
        <v>38</v>
      </c>
      <c r="H32" s="32">
        <v>38</v>
      </c>
      <c r="I32" s="44">
        <v>38</v>
      </c>
      <c r="J32" s="44">
        <v>37.8</v>
      </c>
      <c r="K32" s="59">
        <v>37.8</v>
      </c>
      <c r="L32" s="38">
        <f>259244*100/662769</f>
        <v>39.11528752853558</v>
      </c>
      <c r="M32" s="38">
        <v>39.5</v>
      </c>
      <c r="N32" s="32">
        <v>39.8</v>
      </c>
      <c r="O32" s="32">
        <v>39.9</v>
      </c>
      <c r="P32" s="44">
        <v>39.8</v>
      </c>
      <c r="Q32" s="44">
        <v>39.4</v>
      </c>
      <c r="R32" s="59">
        <v>39.4</v>
      </c>
      <c r="S32" s="32">
        <v>40.1</v>
      </c>
      <c r="T32" s="32">
        <v>40.3</v>
      </c>
      <c r="U32" s="44">
        <v>38.4</v>
      </c>
      <c r="V32" s="44">
        <v>37.9</v>
      </c>
      <c r="W32" s="59">
        <v>38</v>
      </c>
      <c r="X32" s="44">
        <v>39</v>
      </c>
      <c r="Y32" s="44">
        <v>38.6</v>
      </c>
      <c r="Z32" s="59">
        <v>37.6</v>
      </c>
      <c r="AA32" s="59">
        <v>38</v>
      </c>
    </row>
    <row r="33" spans="2:27" ht="13.5" thickBot="1">
      <c r="B33" s="25" t="s">
        <v>39</v>
      </c>
      <c r="C33" s="39" t="s">
        <v>30</v>
      </c>
      <c r="D33" s="39" t="s">
        <v>30</v>
      </c>
      <c r="E33" s="40">
        <v>67.1</v>
      </c>
      <c r="F33" s="40">
        <v>75.7</v>
      </c>
      <c r="G33" s="28">
        <v>80.6</v>
      </c>
      <c r="H33" s="28">
        <v>80.8</v>
      </c>
      <c r="I33" s="47">
        <v>82.2</v>
      </c>
      <c r="J33" s="47">
        <v>82.2</v>
      </c>
      <c r="K33" s="60">
        <v>82.2</v>
      </c>
      <c r="L33" s="40">
        <f>231786*100/333282</f>
        <v>69.54651016256504</v>
      </c>
      <c r="M33" s="40">
        <v>81.8</v>
      </c>
      <c r="N33" s="28">
        <v>85</v>
      </c>
      <c r="O33" s="28">
        <v>85.1</v>
      </c>
      <c r="P33" s="47">
        <v>86.5</v>
      </c>
      <c r="Q33" s="47">
        <v>86.6</v>
      </c>
      <c r="R33" s="60">
        <v>86.6</v>
      </c>
      <c r="S33" s="28" t="s">
        <v>30</v>
      </c>
      <c r="T33" s="28">
        <v>89.2</v>
      </c>
      <c r="U33" s="47">
        <v>86.7</v>
      </c>
      <c r="V33" s="47">
        <v>86.7</v>
      </c>
      <c r="W33" s="60">
        <v>86.7</v>
      </c>
      <c r="X33" s="47">
        <v>85.9</v>
      </c>
      <c r="Y33" s="47">
        <v>85.9</v>
      </c>
      <c r="Z33" s="60">
        <v>84.2</v>
      </c>
      <c r="AA33" s="60">
        <v>81.2</v>
      </c>
    </row>
    <row r="34" spans="2:27" ht="14.25" thickBot="1" thickTop="1">
      <c r="B34" s="7" t="s">
        <v>38</v>
      </c>
      <c r="C34" s="39" t="s">
        <v>30</v>
      </c>
      <c r="D34" s="39" t="s">
        <v>30</v>
      </c>
      <c r="E34" s="40">
        <v>87.1</v>
      </c>
      <c r="F34" s="40">
        <v>85.4</v>
      </c>
      <c r="G34" s="28">
        <v>85.5</v>
      </c>
      <c r="H34" s="28">
        <v>85.5</v>
      </c>
      <c r="I34" s="49">
        <v>85.5</v>
      </c>
      <c r="J34" s="49">
        <v>85.7</v>
      </c>
      <c r="K34" s="61">
        <v>85.7</v>
      </c>
      <c r="L34" s="41" t="s">
        <v>30</v>
      </c>
      <c r="M34" s="40" t="s">
        <v>30</v>
      </c>
      <c r="N34" s="28">
        <v>86.8</v>
      </c>
      <c r="O34" s="28">
        <v>86.8</v>
      </c>
      <c r="P34" s="49">
        <v>86.8</v>
      </c>
      <c r="Q34" s="49">
        <v>86.7</v>
      </c>
      <c r="R34" s="61">
        <v>86.7</v>
      </c>
      <c r="S34" s="28" t="s">
        <v>30</v>
      </c>
      <c r="T34" s="28" t="s">
        <v>30</v>
      </c>
      <c r="U34" s="49">
        <v>85.2</v>
      </c>
      <c r="V34" s="49">
        <v>85</v>
      </c>
      <c r="W34" s="61">
        <v>84.9</v>
      </c>
      <c r="X34" s="49" t="s">
        <v>30</v>
      </c>
      <c r="Y34" s="49" t="s">
        <v>30</v>
      </c>
      <c r="Z34" s="61">
        <v>83.5</v>
      </c>
      <c r="AA34" s="62" t="s">
        <v>30</v>
      </c>
    </row>
    <row r="35" spans="2:27" ht="14.25" thickBot="1" thickTop="1">
      <c r="B35" s="7" t="s">
        <v>29</v>
      </c>
      <c r="C35" s="39" t="s">
        <v>30</v>
      </c>
      <c r="D35" s="39" t="s">
        <v>30</v>
      </c>
      <c r="E35" s="40">
        <v>92.6</v>
      </c>
      <c r="F35" s="40">
        <v>90.9</v>
      </c>
      <c r="G35" s="28">
        <v>90.9</v>
      </c>
      <c r="H35" s="28">
        <v>91.1</v>
      </c>
      <c r="I35" s="49">
        <v>91.1</v>
      </c>
      <c r="J35" s="49">
        <v>91.3</v>
      </c>
      <c r="K35" s="61">
        <v>91.4</v>
      </c>
      <c r="L35" s="41" t="s">
        <v>30</v>
      </c>
      <c r="M35" s="40" t="s">
        <v>30</v>
      </c>
      <c r="N35" s="28">
        <v>91.9</v>
      </c>
      <c r="O35" s="28">
        <v>92.1</v>
      </c>
      <c r="P35" s="49">
        <v>92</v>
      </c>
      <c r="Q35" s="49">
        <v>92</v>
      </c>
      <c r="R35" s="61">
        <v>92</v>
      </c>
      <c r="S35" s="28" t="s">
        <v>30</v>
      </c>
      <c r="T35" s="28" t="s">
        <v>30</v>
      </c>
      <c r="U35" s="49">
        <v>90.7</v>
      </c>
      <c r="V35" s="49">
        <v>90.4</v>
      </c>
      <c r="W35" s="61">
        <v>90.3</v>
      </c>
      <c r="X35" s="49" t="s">
        <v>30</v>
      </c>
      <c r="Y35" s="49" t="s">
        <v>30</v>
      </c>
      <c r="Z35" s="61">
        <v>89.2</v>
      </c>
      <c r="AA35" s="62" t="s">
        <v>30</v>
      </c>
    </row>
    <row r="36" ht="13.5" thickTop="1">
      <c r="B36" t="s">
        <v>36</v>
      </c>
    </row>
    <row r="37" ht="12.75">
      <c r="B37" t="s">
        <v>34</v>
      </c>
    </row>
    <row r="38" ht="12.75">
      <c r="B38" s="22" t="s">
        <v>42</v>
      </c>
    </row>
  </sheetData>
  <sheetProtection/>
  <mergeCells count="4">
    <mergeCell ref="X5:Z5"/>
    <mergeCell ref="C5:K5"/>
    <mergeCell ref="L5:R5"/>
    <mergeCell ref="S5:W5"/>
  </mergeCells>
  <printOptions horizontalCentered="1" verticalCentered="1"/>
  <pageMargins left="0.3937007874015748" right="0.3937007874015748" top="0.7086614173228347" bottom="0.2362204724409449" header="0.5118110236220472" footer="0.15748031496062992"/>
  <pageSetup horizontalDpi="120" verticalDpi="120" orientation="landscape" paperSize="9" scale="67" r:id="rId1"/>
  <headerFooter alignWithMargins="0">
    <oddFooter>&amp;RG:\Work\Ági\Eurostat\Debt&amp;Deficit\[Fájl]\&amp;A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Könyvelő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Csonka Gizella</dc:creator>
  <cp:keywords/>
  <dc:description/>
  <cp:lastModifiedBy>Nagy Henrietta</cp:lastModifiedBy>
  <cp:lastPrinted>2017-04-27T13:53:04Z</cp:lastPrinted>
  <dcterms:created xsi:type="dcterms:W3CDTF">2002-12-30T12:33:54Z</dcterms:created>
  <dcterms:modified xsi:type="dcterms:W3CDTF">2017-04-27T13:53:43Z</dcterms:modified>
  <cp:category/>
  <cp:version/>
  <cp:contentType/>
  <cp:contentStatus/>
</cp:coreProperties>
</file>