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workbookProtection workbookPassword="9242" lockStructure="1"/>
  <bookViews>
    <workbookView xWindow="825" yWindow="-105" windowWidth="18495" windowHeight="11025" tabRatio="709"/>
  </bookViews>
  <sheets>
    <sheet name="Főlap" sheetId="1" r:id="rId1"/>
    <sheet name="Egyéni vállalkozó" sheetId="5" r:id="rId2"/>
    <sheet name="Társas vállalkozó" sheetId="3" r:id="rId3"/>
    <sheet name="listák, paraméterek" sheetId="4" state="hidden" r:id="rId4"/>
    <sheet name="háttér kalkulátor" sheetId="6" state="hidden" r:id="rId5"/>
  </sheets>
  <definedNames>
    <definedName name="Egészségügyi_szolgáltatási_járulék">'listák, paraméterek'!$B$25</definedName>
    <definedName name="Garantált_bérminimum">'listák, paraméterek'!$B$27</definedName>
    <definedName name="Járulék_munkaerőpiaci">'listák, paraméterek'!$B$24</definedName>
    <definedName name="Járulék_nyugdíj">'listák, paraméterek'!$B$21</definedName>
    <definedName name="Járulék_pénzbeli_eü">'listák, paraméterek'!$B$23</definedName>
    <definedName name="Járulék_természetbeni_eü">'listák, paraméterek'!$B$22</definedName>
    <definedName name="KATA_bevételi_határ">'listák, paraméterek'!$B$17</definedName>
    <definedName name="KATA_emelt">'listák, paraméterek'!$B$16</definedName>
    <definedName name="KATA_főállású">'listák, paraméterek'!$B$14</definedName>
    <definedName name="KATA_HIPA_alap">'listák, paraméterek'!$B$28</definedName>
    <definedName name="KATA_mellékállású">'listák, paraméterek'!$B$15</definedName>
    <definedName name="KATA_százalékos">'listák, paraméterek'!$B$18</definedName>
    <definedName name="KIVA">'listák, paraméterek'!$B$12</definedName>
    <definedName name="Minimálbér">'listák, paraméterek'!$B$26</definedName>
    <definedName name="Szakképzési_hozzájárulás">'listák, paraméterek'!$B$11</definedName>
    <definedName name="Szja">'listák, paraméterek'!$B$19</definedName>
    <definedName name="Szja_vállalkozói">'listák, paraméterek'!$B$20</definedName>
    <definedName name="Szocho">'listák, paraméterek'!$B$10</definedName>
    <definedName name="Tao">'listák, paraméterek'!$B$13</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0" i="6" l="1"/>
  <c r="E30" i="6" s="1"/>
  <c r="E28" i="6" l="1"/>
  <c r="E25" i="6"/>
  <c r="F25" i="6"/>
  <c r="G25" i="6"/>
  <c r="H25" i="6"/>
  <c r="I25" i="6"/>
  <c r="E26" i="6"/>
  <c r="F26" i="6"/>
  <c r="G26" i="6"/>
  <c r="H26" i="6"/>
  <c r="I26" i="6"/>
  <c r="E27" i="6"/>
  <c r="F27" i="6"/>
  <c r="G27" i="6"/>
  <c r="H27" i="6"/>
  <c r="I27" i="6"/>
  <c r="F28" i="6"/>
  <c r="G28" i="6"/>
  <c r="H28" i="6"/>
  <c r="I28" i="6"/>
  <c r="F24" i="6"/>
  <c r="G24" i="6"/>
  <c r="H24" i="6"/>
  <c r="I24" i="6"/>
  <c r="E24" i="6"/>
  <c r="F21" i="6"/>
  <c r="G21" i="6"/>
  <c r="H21" i="6"/>
  <c r="I21" i="6"/>
  <c r="E21" i="6"/>
  <c r="E5" i="6"/>
  <c r="D65" i="5"/>
  <c r="E133" i="6" l="1"/>
  <c r="E128" i="6"/>
  <c r="F128" i="6"/>
  <c r="G128" i="6"/>
  <c r="H128" i="6"/>
  <c r="I128" i="6"/>
  <c r="E129" i="6"/>
  <c r="F129" i="6"/>
  <c r="G129" i="6"/>
  <c r="H129" i="6"/>
  <c r="I129" i="6"/>
  <c r="F31" i="6"/>
  <c r="G31" i="6"/>
  <c r="H31" i="6"/>
  <c r="I31" i="6"/>
  <c r="E31" i="6"/>
  <c r="D79" i="3"/>
  <c r="E134" i="6" l="1"/>
  <c r="D26" i="5" s="1"/>
  <c r="F130" i="6"/>
  <c r="G130" i="6"/>
  <c r="E130" i="6"/>
  <c r="H130" i="6"/>
  <c r="I130" i="6"/>
  <c r="F51" i="6" l="1"/>
  <c r="I51" i="6"/>
  <c r="E51" i="6"/>
  <c r="H51" i="6"/>
  <c r="G51" i="6"/>
  <c r="E23" i="6" l="1"/>
  <c r="E75" i="6" s="1"/>
  <c r="E111" i="6" s="1"/>
  <c r="E113" i="6" s="1"/>
  <c r="F23" i="6"/>
  <c r="F75" i="6" s="1"/>
  <c r="G23" i="6"/>
  <c r="G75" i="6" s="1"/>
  <c r="H23" i="6"/>
  <c r="H75" i="6" s="1"/>
  <c r="I23" i="6"/>
  <c r="I75" i="6" s="1"/>
  <c r="E29" i="6"/>
  <c r="F29" i="6"/>
  <c r="G29" i="6"/>
  <c r="H29" i="6"/>
  <c r="I29" i="6"/>
  <c r="D74" i="3"/>
  <c r="D52" i="3"/>
  <c r="E77" i="6" l="1"/>
  <c r="D19" i="3"/>
  <c r="D18" i="5"/>
  <c r="I49" i="1" l="1"/>
  <c r="I48" i="1"/>
  <c r="D9" i="5" l="1"/>
  <c r="D30" i="5" l="1"/>
  <c r="G47" i="1"/>
  <c r="J47" i="1" s="1"/>
  <c r="D22" i="5"/>
  <c r="D12" i="5" l="1"/>
  <c r="E22" i="6" l="1"/>
  <c r="E74" i="6" s="1"/>
  <c r="E76" i="6" s="1"/>
  <c r="F22" i="6"/>
  <c r="F30" i="6" s="1"/>
  <c r="F133" i="6" s="1"/>
  <c r="G22" i="6"/>
  <c r="G74" i="6" s="1"/>
  <c r="H22" i="6"/>
  <c r="I22" i="6"/>
  <c r="F33" i="6"/>
  <c r="G33" i="6"/>
  <c r="H33" i="6"/>
  <c r="I33" i="6"/>
  <c r="F77" i="6"/>
  <c r="I77" i="6"/>
  <c r="E8" i="6"/>
  <c r="F8" i="6"/>
  <c r="F11" i="6" s="1"/>
  <c r="F16" i="6" s="1"/>
  <c r="G8" i="6"/>
  <c r="G12" i="6" s="1"/>
  <c r="H8" i="6"/>
  <c r="H12" i="6" s="1"/>
  <c r="I8" i="6"/>
  <c r="I11" i="6" s="1"/>
  <c r="I16" i="6" s="1"/>
  <c r="E6" i="6"/>
  <c r="F6" i="6"/>
  <c r="G6" i="6"/>
  <c r="H6" i="6"/>
  <c r="I6" i="6"/>
  <c r="E7" i="6"/>
  <c r="E90" i="6" s="1"/>
  <c r="F7" i="6"/>
  <c r="G7" i="6"/>
  <c r="H7" i="6"/>
  <c r="I7" i="6"/>
  <c r="F5" i="6"/>
  <c r="G5" i="6"/>
  <c r="H5" i="6"/>
  <c r="I5" i="6"/>
  <c r="C32" i="4"/>
  <c r="C34" i="4"/>
  <c r="C35" i="4"/>
  <c r="C36" i="4"/>
  <c r="C37" i="4"/>
  <c r="F50" i="6" l="1"/>
  <c r="F49" i="6"/>
  <c r="G45" i="6"/>
  <c r="G43" i="6"/>
  <c r="G48" i="6"/>
  <c r="G47" i="6"/>
  <c r="G44" i="6"/>
  <c r="G46" i="6"/>
  <c r="I72" i="6"/>
  <c r="I50" i="6"/>
  <c r="I49" i="6"/>
  <c r="E49" i="6"/>
  <c r="E61" i="6" s="1"/>
  <c r="E102" i="6" s="1"/>
  <c r="E50" i="6"/>
  <c r="F46" i="6"/>
  <c r="F43" i="6"/>
  <c r="F47" i="6"/>
  <c r="F44" i="6"/>
  <c r="F48" i="6"/>
  <c r="F45" i="6"/>
  <c r="H72" i="6"/>
  <c r="H49" i="6"/>
  <c r="H50" i="6"/>
  <c r="I48" i="6"/>
  <c r="I43" i="6"/>
  <c r="I45" i="6"/>
  <c r="I44" i="6"/>
  <c r="I47" i="6"/>
  <c r="I46" i="6"/>
  <c r="E43" i="6"/>
  <c r="E46" i="6"/>
  <c r="E45" i="6"/>
  <c r="E44" i="6"/>
  <c r="E48" i="6"/>
  <c r="E47" i="6"/>
  <c r="G72" i="6"/>
  <c r="G50" i="6"/>
  <c r="G49" i="6"/>
  <c r="H43" i="6"/>
  <c r="H44" i="6"/>
  <c r="H47" i="6"/>
  <c r="H48" i="6"/>
  <c r="H45" i="6"/>
  <c r="H46" i="6"/>
  <c r="E110" i="6"/>
  <c r="D72" i="5" s="1"/>
  <c r="E72" i="6"/>
  <c r="D43" i="5" s="1"/>
  <c r="F74" i="6"/>
  <c r="E79" i="6"/>
  <c r="E80" i="6" s="1"/>
  <c r="E78" i="6"/>
  <c r="D38" i="5" s="1"/>
  <c r="F72" i="6"/>
  <c r="E32" i="6"/>
  <c r="D16" i="5" s="1"/>
  <c r="I39" i="6"/>
  <c r="I40" i="6"/>
  <c r="I41" i="6"/>
  <c r="I42" i="6"/>
  <c r="I37" i="6"/>
  <c r="I38" i="6" s="1"/>
  <c r="E33" i="6"/>
  <c r="I30" i="6"/>
  <c r="I32" i="6"/>
  <c r="H39" i="6"/>
  <c r="H40" i="6"/>
  <c r="H41" i="6"/>
  <c r="H42" i="6"/>
  <c r="H37" i="6"/>
  <c r="H38" i="6" s="1"/>
  <c r="H30" i="6"/>
  <c r="H32" i="6"/>
  <c r="G41" i="6"/>
  <c r="G37" i="6"/>
  <c r="G38" i="6" s="1"/>
  <c r="G39" i="6"/>
  <c r="G40" i="6"/>
  <c r="G42" i="6"/>
  <c r="G30" i="6"/>
  <c r="G133" i="6" s="1"/>
  <c r="G32" i="6"/>
  <c r="F39" i="6"/>
  <c r="F40" i="6"/>
  <c r="F41" i="6"/>
  <c r="F42" i="6"/>
  <c r="F37" i="6"/>
  <c r="F38" i="6" s="1"/>
  <c r="F32" i="6"/>
  <c r="E9" i="6"/>
  <c r="E12" i="6"/>
  <c r="E13" i="6" s="1"/>
  <c r="E11" i="6"/>
  <c r="F52" i="6"/>
  <c r="F54" i="6"/>
  <c r="F53" i="6"/>
  <c r="I53" i="6"/>
  <c r="I54" i="6"/>
  <c r="I52" i="6"/>
  <c r="E52" i="6"/>
  <c r="E54" i="6"/>
  <c r="E53" i="6"/>
  <c r="H54" i="6"/>
  <c r="H52" i="6"/>
  <c r="H53" i="6"/>
  <c r="G53" i="6"/>
  <c r="G54" i="6"/>
  <c r="G52" i="6"/>
  <c r="G77" i="6"/>
  <c r="H77" i="6"/>
  <c r="F9" i="6"/>
  <c r="F10" i="6" s="1"/>
  <c r="G9" i="6"/>
  <c r="G10" i="6" s="1"/>
  <c r="I9" i="6"/>
  <c r="I10" i="6" s="1"/>
  <c r="H9" i="6"/>
  <c r="H10" i="6" s="1"/>
  <c r="I74" i="6"/>
  <c r="H74" i="6"/>
  <c r="I12" i="6"/>
  <c r="I13" i="6" s="1"/>
  <c r="I14" i="6" s="1"/>
  <c r="G11" i="6"/>
  <c r="G16" i="6" s="1"/>
  <c r="G13" i="6"/>
  <c r="F12" i="6"/>
  <c r="F13" i="6" s="1"/>
  <c r="H11" i="6"/>
  <c r="H16" i="6" s="1"/>
  <c r="H13" i="6"/>
  <c r="H134" i="6" l="1"/>
  <c r="H133" i="6"/>
  <c r="I134" i="6"/>
  <c r="I133" i="6"/>
  <c r="D27" i="3" s="1"/>
  <c r="H61" i="6"/>
  <c r="G134" i="6"/>
  <c r="F134" i="6"/>
  <c r="E37" i="6"/>
  <c r="J72" i="6"/>
  <c r="D72" i="3" s="1"/>
  <c r="F61" i="6"/>
  <c r="F57" i="6"/>
  <c r="F56" i="6"/>
  <c r="G61" i="6"/>
  <c r="I61" i="6"/>
  <c r="E39" i="6"/>
  <c r="E57" i="6" s="1"/>
  <c r="E68" i="6" s="1"/>
  <c r="E40" i="6"/>
  <c r="E58" i="6" s="1"/>
  <c r="E69" i="6" s="1"/>
  <c r="H57" i="6"/>
  <c r="E16" i="6"/>
  <c r="J16" i="6" s="1"/>
  <c r="H60" i="6"/>
  <c r="I60" i="6"/>
  <c r="I59" i="6"/>
  <c r="F55" i="6"/>
  <c r="G59" i="6"/>
  <c r="G57" i="6"/>
  <c r="I58" i="6"/>
  <c r="G55" i="6"/>
  <c r="I57" i="6"/>
  <c r="F60" i="6"/>
  <c r="F71" i="6" s="1"/>
  <c r="I56" i="6"/>
  <c r="E42" i="6"/>
  <c r="E60" i="6" s="1"/>
  <c r="E71" i="6" s="1"/>
  <c r="D42" i="5" s="1"/>
  <c r="E41" i="6"/>
  <c r="E59" i="6" s="1"/>
  <c r="E70" i="6" s="1"/>
  <c r="F58" i="6"/>
  <c r="H56" i="6"/>
  <c r="H59" i="6"/>
  <c r="I55" i="6"/>
  <c r="F59" i="6"/>
  <c r="F70" i="6" s="1"/>
  <c r="G58" i="6"/>
  <c r="G60" i="6"/>
  <c r="H58" i="6"/>
  <c r="H55" i="6"/>
  <c r="G56" i="6"/>
  <c r="E10" i="6"/>
  <c r="J9" i="6"/>
  <c r="D14" i="3" s="1"/>
  <c r="I15" i="6"/>
  <c r="E14" i="6"/>
  <c r="D28" i="3"/>
  <c r="F76" i="6"/>
  <c r="G76" i="6"/>
  <c r="I76" i="6"/>
  <c r="H76" i="6"/>
  <c r="D29" i="3"/>
  <c r="G14" i="6"/>
  <c r="G15" i="6" s="1"/>
  <c r="F14" i="6"/>
  <c r="F15" i="6" s="1"/>
  <c r="H14" i="6"/>
  <c r="H15" i="6" s="1"/>
  <c r="H62" i="6" l="1"/>
  <c r="H63" i="6" s="1"/>
  <c r="H66" i="6" s="1"/>
  <c r="H64" i="6"/>
  <c r="H65" i="6" s="1"/>
  <c r="H67" i="6" s="1"/>
  <c r="D25" i="3"/>
  <c r="D26" i="3"/>
  <c r="D50" i="3"/>
  <c r="E38" i="6"/>
  <c r="E56" i="6" s="1"/>
  <c r="E64" i="6" s="1"/>
  <c r="E65" i="6" s="1"/>
  <c r="E67" i="6" s="1"/>
  <c r="E55" i="6"/>
  <c r="D45" i="5" s="1"/>
  <c r="F62" i="6"/>
  <c r="F63" i="6" s="1"/>
  <c r="F64" i="6"/>
  <c r="F65" i="6" s="1"/>
  <c r="E81" i="6"/>
  <c r="E84" i="6" s="1"/>
  <c r="D39" i="5" s="1"/>
  <c r="G64" i="6"/>
  <c r="G65" i="6" s="1"/>
  <c r="G67" i="6" s="1"/>
  <c r="G62" i="6"/>
  <c r="G63" i="6" s="1"/>
  <c r="G66" i="6" s="1"/>
  <c r="I62" i="6"/>
  <c r="I63" i="6" s="1"/>
  <c r="I66" i="6" s="1"/>
  <c r="I64" i="6"/>
  <c r="I65" i="6" s="1"/>
  <c r="I67" i="6" s="1"/>
  <c r="E15" i="6"/>
  <c r="D13" i="5"/>
  <c r="D78" i="5" s="1"/>
  <c r="D81" i="3"/>
  <c r="J32" i="6"/>
  <c r="D17" i="3" s="1"/>
  <c r="F68" i="6"/>
  <c r="G71" i="6"/>
  <c r="H71" i="6"/>
  <c r="I68" i="6"/>
  <c r="I69" i="6"/>
  <c r="G70" i="6"/>
  <c r="H68" i="6"/>
  <c r="I70" i="6"/>
  <c r="G69" i="6"/>
  <c r="H69" i="6"/>
  <c r="I71" i="6"/>
  <c r="F69" i="6"/>
  <c r="H70" i="6"/>
  <c r="G68" i="6"/>
  <c r="I78" i="6"/>
  <c r="I79" i="6"/>
  <c r="I80" i="6" s="1"/>
  <c r="G78" i="6"/>
  <c r="G79" i="6"/>
  <c r="G80" i="6" s="1"/>
  <c r="F78" i="6"/>
  <c r="F79" i="6"/>
  <c r="F80" i="6" s="1"/>
  <c r="H78" i="6"/>
  <c r="H79" i="6"/>
  <c r="H80" i="6" s="1"/>
  <c r="J14" i="6"/>
  <c r="D79" i="5" s="1"/>
  <c r="G50" i="1" l="1"/>
  <c r="D33" i="5"/>
  <c r="D32" i="5"/>
  <c r="E62" i="6"/>
  <c r="E63" i="6" s="1"/>
  <c r="E66" i="6" s="1"/>
  <c r="D46" i="5" s="1"/>
  <c r="H81" i="6"/>
  <c r="H82" i="6" s="1"/>
  <c r="E82" i="6"/>
  <c r="E83" i="6" s="1"/>
  <c r="I81" i="6"/>
  <c r="I82" i="6" s="1"/>
  <c r="G81" i="6"/>
  <c r="F81" i="6"/>
  <c r="F84" i="6" s="1"/>
  <c r="J55" i="6"/>
  <c r="J78" i="6"/>
  <c r="F66" i="6"/>
  <c r="D48" i="5"/>
  <c r="J71" i="6"/>
  <c r="D71" i="3" s="1"/>
  <c r="D47" i="5"/>
  <c r="F67" i="6"/>
  <c r="I84" i="6" l="1"/>
  <c r="H84" i="6"/>
  <c r="H83" i="6"/>
  <c r="I83" i="6"/>
  <c r="I86" i="6" s="1"/>
  <c r="G82" i="6"/>
  <c r="G83" i="6" s="1"/>
  <c r="G86" i="6" s="1"/>
  <c r="G84" i="6"/>
  <c r="F82" i="6"/>
  <c r="F83" i="6" s="1"/>
  <c r="I85" i="6"/>
  <c r="D34" i="3"/>
  <c r="D55" i="3"/>
  <c r="D80" i="5"/>
  <c r="D34" i="5"/>
  <c r="D47" i="1" s="1"/>
  <c r="D67" i="3"/>
  <c r="D45" i="3"/>
  <c r="D49" i="3"/>
  <c r="D49" i="5"/>
  <c r="J84" i="6" l="1"/>
  <c r="G85" i="6"/>
  <c r="F85" i="6"/>
  <c r="H85" i="6"/>
  <c r="H86" i="6"/>
  <c r="F86" i="6"/>
  <c r="D10" i="5"/>
  <c r="D64" i="5" l="1"/>
  <c r="D66" i="5" s="1"/>
  <c r="D76" i="5" s="1"/>
  <c r="D27" i="5"/>
  <c r="C47" i="1" s="1"/>
  <c r="E85" i="6"/>
  <c r="D29" i="5"/>
  <c r="D51" i="5"/>
  <c r="D50" i="5"/>
  <c r="D53" i="5"/>
  <c r="D28" i="5"/>
  <c r="D75" i="5"/>
  <c r="E89" i="6"/>
  <c r="D68" i="3"/>
  <c r="E86" i="6"/>
  <c r="J86" i="6" l="1"/>
  <c r="D41" i="5"/>
  <c r="J85" i="6"/>
  <c r="D69" i="3" s="1"/>
  <c r="D40" i="5"/>
  <c r="E91" i="6"/>
  <c r="D46" i="3"/>
  <c r="D47" i="3" l="1"/>
  <c r="E93" i="6"/>
  <c r="E98" i="6" s="1"/>
  <c r="E106" i="6" s="1"/>
  <c r="E96" i="6"/>
  <c r="E101" i="6" s="1"/>
  <c r="E109" i="6" s="1"/>
  <c r="E92" i="6"/>
  <c r="E97" i="6" s="1"/>
  <c r="E95" i="6"/>
  <c r="E100" i="6" s="1"/>
  <c r="E108" i="6" s="1"/>
  <c r="E94" i="6"/>
  <c r="E99" i="6" s="1"/>
  <c r="E107" i="6" s="1"/>
  <c r="E112" i="6"/>
  <c r="D23" i="5"/>
  <c r="D77" i="5" s="1"/>
  <c r="D17" i="5"/>
  <c r="D31" i="5" l="1"/>
  <c r="D24" i="5" s="1"/>
  <c r="E114" i="6"/>
  <c r="E115" i="6" s="1"/>
  <c r="E116" i="6" s="1"/>
  <c r="D71" i="5"/>
  <c r="E103" i="6"/>
  <c r="E104" i="6" s="1"/>
  <c r="D70" i="3"/>
  <c r="G49" i="1" s="1"/>
  <c r="D48" i="3"/>
  <c r="G48" i="1" s="1"/>
  <c r="G45" i="1"/>
  <c r="D52" i="5"/>
  <c r="C38" i="4"/>
  <c r="E117" i="6" l="1"/>
  <c r="E120" i="6" s="1"/>
  <c r="E105" i="6"/>
  <c r="D74" i="5" s="1"/>
  <c r="D44" i="3"/>
  <c r="D66" i="3"/>
  <c r="D37" i="5"/>
  <c r="D68" i="5"/>
  <c r="E47" i="1"/>
  <c r="F47" i="1" s="1"/>
  <c r="D24" i="3"/>
  <c r="D22" i="3"/>
  <c r="D18" i="3"/>
  <c r="E118" i="6" l="1"/>
  <c r="E121" i="6" s="1"/>
  <c r="D69" i="5"/>
  <c r="J66" i="6"/>
  <c r="J62" i="6"/>
  <c r="D30" i="3" s="1"/>
  <c r="D56" i="3" s="1"/>
  <c r="D36" i="3"/>
  <c r="D51" i="3"/>
  <c r="H48" i="1" s="1"/>
  <c r="D73" i="3"/>
  <c r="H49" i="1" s="1"/>
  <c r="E45" i="1"/>
  <c r="D13" i="3"/>
  <c r="D10" i="3"/>
  <c r="D76" i="3" s="1"/>
  <c r="C50" i="1" s="1"/>
  <c r="D58" i="3" l="1"/>
  <c r="E119" i="6"/>
  <c r="E122" i="6" s="1"/>
  <c r="D78" i="3"/>
  <c r="D77" i="3"/>
  <c r="D60" i="3"/>
  <c r="D57" i="3"/>
  <c r="D40" i="3"/>
  <c r="D39" i="3"/>
  <c r="D35" i="3"/>
  <c r="D37" i="3" s="1"/>
  <c r="J50" i="1"/>
  <c r="D54" i="5" l="1"/>
  <c r="D55" i="5" s="1"/>
  <c r="D56" i="5" s="1"/>
  <c r="D38" i="3"/>
  <c r="D41" i="3"/>
  <c r="D80" i="3"/>
  <c r="D75" i="3" s="1"/>
  <c r="J48" i="1"/>
  <c r="D59" i="3"/>
  <c r="D61" i="3" s="1"/>
  <c r="D62" i="3" s="1"/>
  <c r="J49" i="1"/>
  <c r="D70" i="5" l="1"/>
  <c r="D67" i="5" s="1"/>
  <c r="D62" i="5" s="1"/>
  <c r="D46" i="1" s="1"/>
  <c r="D63" i="3"/>
  <c r="D64" i="3" s="1"/>
  <c r="D53" i="3" s="1"/>
  <c r="E49" i="1"/>
  <c r="D57" i="5"/>
  <c r="D45" i="1"/>
  <c r="D42" i="3"/>
  <c r="D32" i="3" s="1"/>
  <c r="E50" i="1"/>
  <c r="D49" i="1"/>
  <c r="E46" i="1" l="1"/>
  <c r="H46" i="1"/>
  <c r="G46" i="1"/>
  <c r="E125" i="6"/>
  <c r="C45" i="1"/>
  <c r="D59" i="5"/>
  <c r="D50" i="1"/>
  <c r="F50" i="1" s="1"/>
  <c r="K50" i="1" s="1"/>
  <c r="F46" i="1" l="1"/>
  <c r="J46" i="1"/>
  <c r="D61" i="5"/>
  <c r="I45" i="1" s="1"/>
  <c r="D60" i="5"/>
  <c r="C48" i="1"/>
  <c r="E48" i="1"/>
  <c r="K46" i="1" l="1"/>
  <c r="D35" i="5"/>
  <c r="F48" i="1"/>
  <c r="K48" i="1" s="1"/>
  <c r="H45" i="1" l="1"/>
  <c r="F45" i="1" l="1"/>
  <c r="C49" i="1" l="1"/>
  <c r="F49" i="1" s="1"/>
  <c r="K49" i="1" s="1"/>
  <c r="J45" i="1" l="1"/>
  <c r="K45" i="1" s="1"/>
  <c r="K47" i="1" l="1"/>
</calcChain>
</file>

<file path=xl/sharedStrings.xml><?xml version="1.0" encoding="utf-8"?>
<sst xmlns="http://schemas.openxmlformats.org/spreadsheetml/2006/main" count="634" uniqueCount="404">
  <si>
    <t>Értékesítés nettó árbevétele</t>
  </si>
  <si>
    <t xml:space="preserve">Töltse ki a kék mezőket! </t>
  </si>
  <si>
    <t>Főtevékenysége legalább középfokú végzettséget igényel?</t>
  </si>
  <si>
    <t>Nyugdíjas?</t>
  </si>
  <si>
    <t>Megváltozott munkaképességű?</t>
  </si>
  <si>
    <t>Összesen</t>
  </si>
  <si>
    <t>Vállalkozási forma</t>
  </si>
  <si>
    <t>Vállalkozás adói</t>
  </si>
  <si>
    <t>Egyéni vállalkozás</t>
  </si>
  <si>
    <t>Társas vállalkozás</t>
  </si>
  <si>
    <t>Kérjük, válasszon!</t>
  </si>
  <si>
    <r>
      <t>Figyelem!</t>
    </r>
    <r>
      <rPr>
        <sz val="11"/>
        <color theme="3"/>
        <rFont val="Calibri"/>
        <family val="2"/>
        <charset val="238"/>
        <scheme val="minor"/>
      </rPr>
      <t xml:space="preserve"> A munkavállalók, foglalkoztatottak adatait ne itt, hanem a következő táblázatban tüntesse fel!</t>
    </r>
  </si>
  <si>
    <t>1. személy</t>
  </si>
  <si>
    <t>2. személy</t>
  </si>
  <si>
    <t>3. személy</t>
  </si>
  <si>
    <t>4. személy</t>
  </si>
  <si>
    <t>5. személy</t>
  </si>
  <si>
    <t>Vállalkozási tevékenysége szempontjából aktív hónapjainak száma</t>
  </si>
  <si>
    <t>MUNKAVÁLLALÓK, FOGLALKOZTATOTTAK ADATAI</t>
  </si>
  <si>
    <t>A munkavállaló aktív hónapjainak száma</t>
  </si>
  <si>
    <t>A munkavállaló részére havonta kifizetett (átlagos) bér</t>
  </si>
  <si>
    <t>EREDMÉNYEK</t>
  </si>
  <si>
    <r>
      <rPr>
        <b/>
        <sz val="11"/>
        <rFont val="Calibri"/>
        <family val="2"/>
        <charset val="238"/>
      </rPr>
      <t>Figyelem!</t>
    </r>
    <r>
      <rPr>
        <sz val="11"/>
        <rFont val="Calibri"/>
        <family val="2"/>
        <charset val="238"/>
      </rPr>
      <t xml:space="preserve">  </t>
    </r>
    <r>
      <rPr>
        <b/>
        <sz val="11"/>
        <rFont val="Calibri"/>
        <family val="2"/>
        <charset val="238"/>
      </rPr>
      <t>Amennyiben cége gyakorlati képzést folytat</t>
    </r>
    <r>
      <rPr>
        <sz val="11"/>
        <rFont val="Calibri"/>
        <family val="2"/>
        <charset val="238"/>
      </rPr>
      <t xml:space="preserve">, különös tekintettel kell lennie arra, hogy mivel a kisvállalati adóalanyok esetében szakképzési hozzájárulási kötelezettség nem értelmezhető, annak gyakorlati képzéssel történő teljesítése sem lehetséges. Következésképp, </t>
    </r>
    <r>
      <rPr>
        <b/>
        <sz val="11"/>
        <rFont val="Calibri"/>
        <family val="2"/>
        <charset val="238"/>
      </rPr>
      <t>a kisvállalati adózás választása esetén nem tarthat igényt a szakképzési hozzájárulási kötelezettség teljesítésével összefüggő  normatív csökkentő tételre</t>
    </r>
    <r>
      <rPr>
        <sz val="11"/>
        <rFont val="Calibri"/>
        <family val="2"/>
        <charset val="238"/>
      </rPr>
      <t>, illetve e csökkentő tétel, vagy annak egy részének visszaigénylésére.</t>
    </r>
  </si>
  <si>
    <t>Számviteli adatok</t>
  </si>
  <si>
    <t>2020. (áttérés éve)</t>
  </si>
  <si>
    <t>Alapadatok</t>
  </si>
  <si>
    <t>4.</t>
  </si>
  <si>
    <t>5.</t>
  </si>
  <si>
    <t>Kapott (járó) osztalék címén elszámolt bevétel</t>
  </si>
  <si>
    <t>Egyéb működési (üzemi) és pénzügyi bevétel</t>
  </si>
  <si>
    <t>8.</t>
  </si>
  <si>
    <t>9.</t>
  </si>
  <si>
    <t>10.</t>
  </si>
  <si>
    <t>11.</t>
  </si>
  <si>
    <t>12.</t>
  </si>
  <si>
    <t>13.</t>
  </si>
  <si>
    <t>Béren kívüli juttatásnak nem minősülő egyes meghatározott juttatások</t>
  </si>
  <si>
    <t>14.</t>
  </si>
  <si>
    <t>15.</t>
  </si>
  <si>
    <t>16.</t>
  </si>
  <si>
    <t>17.</t>
  </si>
  <si>
    <t>18.</t>
  </si>
  <si>
    <t>Egyéb működési (üzemi) és pénzügyi ráfordítás, kivéve munkáltatói adók és iparűzési adó</t>
  </si>
  <si>
    <t>19.</t>
  </si>
  <si>
    <t>Tőkebevonás (különösen a jegyzett tőke emelés)</t>
  </si>
  <si>
    <t>20.</t>
  </si>
  <si>
    <t>Tőkekivonás (különösen a jegyzett tőke leszállítás)</t>
  </si>
  <si>
    <t>21.</t>
  </si>
  <si>
    <t>Egyéb adókötelezettséget befolyásoló tételek</t>
  </si>
  <si>
    <t>22.</t>
  </si>
  <si>
    <t>A vállalkozását érintő helyi iparűzési adókulcs</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</si>
  <si>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</si>
  <si>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</si>
  <si>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</si>
  <si>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</si>
  <si>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</si>
  <si>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</si>
  <si>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</si>
  <si>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</si>
  <si>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</si>
  <si>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</si>
  <si>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</si>
  <si>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</si>
  <si>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</si>
  <si>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</si>
  <si>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</si>
  <si>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</si>
  <si>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</si>
  <si>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</si>
  <si>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</si>
  <si>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</si>
  <si>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</si>
  <si>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</si>
  <si>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</si>
  <si>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</si>
  <si>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</si>
  <si>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</si>
  <si>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</si>
  <si>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</si>
  <si>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</si>
  <si>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</si>
  <si>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</si>
  <si>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</si>
  <si>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</si>
  <si>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</si>
  <si>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</si>
  <si>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</si>
  <si>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</si>
  <si>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Helyi iparűzési adó</t>
  </si>
  <si>
    <t>Magánszemélyek (egyéni vállalkozók / tagok) adói</t>
  </si>
  <si>
    <r>
      <t xml:space="preserve">Töltse ki a kék mezőket! 
</t>
    </r>
    <r>
      <rPr>
        <sz val="14"/>
        <color theme="3"/>
        <rFont val="Calibri"/>
        <family val="2"/>
        <charset val="238"/>
      </rPr>
      <t>A fehér mezők értékeit a kalkulátor automatikusan átveszi a főlapról.</t>
    </r>
  </si>
  <si>
    <t>A VÁLLALKOZÁS LEGFŐBB, ÉVESÍTETT ÖSSZESÍTŐ ADATAI</t>
  </si>
  <si>
    <t>Típus</t>
  </si>
  <si>
    <t>Mérték</t>
  </si>
  <si>
    <t>Plafon</t>
  </si>
  <si>
    <t>Nincs kedvezmény</t>
  </si>
  <si>
    <t>Szocho</t>
  </si>
  <si>
    <t>Szakképzési hozzájárulás</t>
  </si>
  <si>
    <t>KATA főállású</t>
  </si>
  <si>
    <t>KATA mellékállású</t>
  </si>
  <si>
    <t>KATA emelt</t>
  </si>
  <si>
    <t>KATA bevételi határ</t>
  </si>
  <si>
    <t>KATA százalékos</t>
  </si>
  <si>
    <t>Szja</t>
  </si>
  <si>
    <t>Szja vállalkozói</t>
  </si>
  <si>
    <t>Járulék nyugdíj</t>
  </si>
  <si>
    <t>Járulék természetbeni eü</t>
  </si>
  <si>
    <t>Járulék pénzbeli eü</t>
  </si>
  <si>
    <t>Járulék munkaerőpiaci</t>
  </si>
  <si>
    <t>Egészségügyi szolgáltatási járulék</t>
  </si>
  <si>
    <t>Minimálbér</t>
  </si>
  <si>
    <t>Garantált bérminimum</t>
  </si>
  <si>
    <t>KIVA</t>
  </si>
  <si>
    <t>Tao</t>
  </si>
  <si>
    <t>kulcs</t>
  </si>
  <si>
    <t>érték</t>
  </si>
  <si>
    <t>Mérték (általános)</t>
  </si>
  <si>
    <t>Mérték (kiegészítő tevékenység)</t>
  </si>
  <si>
    <t>Átalányban megállapított jövedelem</t>
  </si>
  <si>
    <t>Nyugdíjjárulék</t>
  </si>
  <si>
    <t>Munkaerőpiaci járulék</t>
  </si>
  <si>
    <t>Egyéni vállalkozói kivét</t>
  </si>
  <si>
    <t>A vállalkozás működését érintő adatok</t>
  </si>
  <si>
    <t>Igen</t>
  </si>
  <si>
    <t>Nem</t>
  </si>
  <si>
    <t>A munkavállalóval szociális hozzájárulási adókedvezménye</t>
  </si>
  <si>
    <t>3.</t>
  </si>
  <si>
    <t>KATA HIPA alap</t>
  </si>
  <si>
    <t>Járulék</t>
  </si>
  <si>
    <t>Az átalányadó alapjába beszámító bevétel</t>
  </si>
  <si>
    <t>Átalányban megállapított jövedelem utáni szja</t>
  </si>
  <si>
    <t>Alkalmazható átalányköltség</t>
  </si>
  <si>
    <t>Munkavállalóknak kifizetett bérköltség</t>
  </si>
  <si>
    <t>Szocho alap</t>
  </si>
  <si>
    <t>Szakképzési alap</t>
  </si>
  <si>
    <t>Kivét éves összege</t>
  </si>
  <si>
    <t>Szakképzési</t>
  </si>
  <si>
    <t>Járulékok terhére igénybe vehető kedvezmény</t>
  </si>
  <si>
    <t>A vállalkozás tagjai részére, a személyes közreműködésére tekintettel kifizetett juttatás</t>
  </si>
  <si>
    <t>1.</t>
  </si>
  <si>
    <t>Az osztalék összege több a lehetségesnél</t>
  </si>
  <si>
    <t>2.</t>
  </si>
  <si>
    <t>Béren kívüli juttatások</t>
  </si>
  <si>
    <t>A vállalkozás összes bevétele (1.+2.+3.)</t>
  </si>
  <si>
    <t>Adózás előtti eredmény (45.-46.)</t>
  </si>
  <si>
    <t>Személyi jövedelemadó</t>
  </si>
  <si>
    <t>Az egyéni vállalkozást terhelő közterhek</t>
  </si>
  <si>
    <t>60.</t>
  </si>
  <si>
    <t>61.</t>
  </si>
  <si>
    <t>62.</t>
  </si>
  <si>
    <t>63.</t>
  </si>
  <si>
    <t>64.</t>
  </si>
  <si>
    <t>4%-os egészségbiztosítási járulék</t>
  </si>
  <si>
    <t>3%-os egészségbiztosítási járulék</t>
  </si>
  <si>
    <t>A társas vállalkozást terhelő közterhek</t>
  </si>
  <si>
    <t>A társas vállalkozás tagjainak személyes jövedelmét terhelő közterhek</t>
  </si>
  <si>
    <t>Anyagköltség, Eladott áruk beszerzési értéke, Közvetített szolgáltatások és alvállalkozói teljesítések értéke</t>
  </si>
  <si>
    <t>Az egyéni vállalkozói kivét terhére fizetendő közterhek</t>
  </si>
  <si>
    <t>A vállalkozói osztalékalapot terhelő adók</t>
  </si>
  <si>
    <t>6.</t>
  </si>
  <si>
    <t>7.</t>
  </si>
  <si>
    <t>Az egyszerűsített adómegállapítás alapján meghatározott iparűzési adóalap, amennyiben az adózó annak választására jogosult (a nettó árbevétel legfeljebb 8 millió Ft) (2.*80%)</t>
  </si>
  <si>
    <t>Munkavállalók után fizetendő szociális hozzájárulási adó és szakképzési hozzájárulás a kapcsolódó kedvezmények figyelembevétele nélkül ((5.+6.+7.*1,18)*17,5%+5.*1,5%)</t>
  </si>
  <si>
    <t>A vállalkozás összes bevétele (2.+3.)</t>
  </si>
  <si>
    <t>Átalányban megállapított jövedelem (47.*48.)</t>
  </si>
  <si>
    <t>Egészségbiztosítási járulékok</t>
  </si>
  <si>
    <t>Az egyéni vállalkozó jövedelmét terhelő közterhek</t>
  </si>
  <si>
    <r>
      <t xml:space="preserve">Kisvállalati adó </t>
    </r>
    <r>
      <rPr>
        <sz val="11"/>
        <rFont val="Calibri"/>
        <family val="2"/>
        <charset val="238"/>
      </rPr>
      <t>(25.*12%)</t>
    </r>
  </si>
  <si>
    <t>Az egyszerűsített adómegállapítás alapján meghatározott iparűzési adóalap, amennyiben az adózó annak választására jogosult (a nettó árbevétel legfeljebb 8 millió Ft) (1.*80%)</t>
  </si>
  <si>
    <t>A vállalkozás összes ráfordítása (4.+5.+6.+7.+8.+9.+10.+41+44.)</t>
  </si>
  <si>
    <t>Amennyiben Ön főállásban végzi tevékenységét, a kisadózók tételes adója (KATA) alkalmazása esetén választaná az emelt összegű adó megfizetését?9</t>
  </si>
  <si>
    <t>Társas vállalkozás esetén a tagok részesedése</t>
  </si>
  <si>
    <t>TÁRSAS VÁLLALKOZÁS OSZTALÉKÁNAK KORLÁTJA</t>
  </si>
  <si>
    <t>- A foglalkoztatás első két évében a GYES-ről és tartós munkanélküliség után visszatérő, ill. pályakezdő munkavállalók után érvényesíthető 100%-os adókedvezmény, illetve a szakképzettséget nem igénylő munkakörben foglalkoztatott, a foglalkoztatás 3. évében járó, GYES-ről visszatérő, legfeljebb 2 gyermekes, ill. a tartós munkanélküliség után visszatérő munkavállalók után érvényesíthető 50%-os adókedvezmény mind a hagyományos, mind a kisvállalati adózásban érvényesíthető. (A kedvezmények alapja a bruttó munkabér, de legfeljebb havi 100 ezer forint.) 
- A szabad vállalkozási zónához kapcsolódó, és a legalább 3 gyermekes édesanyák után a foglalkoztatás 3-5. évében járó kedvezmények azonban csak a hagyományos munkáltatói adóterhekből érvényesíthetőek.</t>
  </si>
  <si>
    <r>
      <t>A vállalkozást érintő helyi iparűzési adókulcs</t>
    </r>
    <r>
      <rPr>
        <vertAlign val="superscript"/>
        <sz val="11"/>
        <rFont val="Calibri"/>
        <family val="2"/>
        <charset val="238"/>
      </rPr>
      <t>3</t>
    </r>
  </si>
  <si>
    <r>
      <rPr>
        <b/>
        <sz val="11"/>
        <rFont val="Calibri"/>
        <family val="2"/>
        <charset val="238"/>
      </rPr>
      <t xml:space="preserve">Figyelem! Az adatok tájékoztató jellegűek. A kalkulátor egyszerűsítő feltételezésekkel él, a tényleges adókötelezettség a számítottól eltérő lehet.
</t>
    </r>
    <r>
      <rPr>
        <sz val="11"/>
        <rFont val="Calibri"/>
        <family val="2"/>
        <charset val="238"/>
      </rPr>
      <t>Nagyobb eltéréseket okozhat, hogy a kalkulátor:
- az Ön által megadott adatok alapján figyelembe veszi a családi adókedvezményt és a munkáltatói adókból főszabály szerint igénybevehető kedvezményeket, de nem számol a 2019. óta már csak átmeneti rendelkezések révén alkalmazható, kifutó munkáltatói kedvezményekkel</t>
    </r>
    <r>
      <rPr>
        <vertAlign val="superscript"/>
        <sz val="11"/>
        <rFont val="Calibri"/>
        <family val="2"/>
        <charset val="238"/>
      </rPr>
      <t>1</t>
    </r>
    <r>
      <rPr>
        <sz val="11"/>
        <rFont val="Calibri"/>
        <family val="2"/>
        <charset val="238"/>
      </rPr>
      <t>;
- nem számol az iparűzési adóban és az egyes nyereségadózási formák mellett elérhető adó- és adóalap-kedvezményekkel</t>
    </r>
    <r>
      <rPr>
        <vertAlign val="superscript"/>
        <sz val="11"/>
        <rFont val="Calibri"/>
        <family val="2"/>
        <charset val="238"/>
      </rPr>
      <t>2</t>
    </r>
    <r>
      <rPr>
        <sz val="11"/>
        <rFont val="Calibri"/>
        <family val="2"/>
        <charset val="238"/>
      </rPr>
      <t>; 
- nem veszi figyelembe a vállalkozás alapvető működéséhez nem kapcsolódó, különös eredménytételeket (pl. nem a vállalkozás érdekében felmerült ráfordítás, bírság, pótlék, elengedett követelés);</t>
    </r>
    <r>
      <rPr>
        <b/>
        <sz val="11"/>
        <rFont val="Calibri"/>
        <family val="2"/>
        <charset val="238"/>
      </rPr>
      <t xml:space="preserve">
</t>
    </r>
    <r>
      <rPr>
        <sz val="11"/>
        <rFont val="Calibri"/>
        <family val="2"/>
        <charset val="238"/>
      </rPr>
      <t>- feltételezi, hogy a vállalkozás székhelye és telephelye(i) ugyanazon a településen van(nak), aminek az iparűzési  adó számításánál van jelentősége</t>
    </r>
    <r>
      <rPr>
        <vertAlign val="superscript"/>
        <sz val="11"/>
        <rFont val="Calibri"/>
        <family val="2"/>
        <charset val="238"/>
      </rPr>
      <t>3</t>
    </r>
    <r>
      <rPr>
        <sz val="11"/>
        <rFont val="Calibri"/>
        <family val="2"/>
        <charset val="238"/>
      </rPr>
      <t xml:space="preserve">. </t>
    </r>
  </si>
  <si>
    <r>
      <rPr>
        <b/>
        <sz val="11"/>
        <rFont val="Calibri"/>
        <family val="2"/>
        <charset val="238"/>
      </rPr>
      <t>9.</t>
    </r>
    <r>
      <rPr>
        <sz val="11"/>
        <rFont val="Calibri"/>
        <family val="2"/>
        <charset val="238"/>
      </rPr>
      <t xml:space="preserve"> Ha az Ön egészségi állapota a rehabilitációs hatóság komplex minősítése alapján 60 százalékos vagy kisebb mértékű, illetve rokkantsági, vagy rehabilitációs ellátásban részesül kedvezményre lehet jogosult.</t>
    </r>
  </si>
  <si>
    <r>
      <t>Vállalkozását mellékállásban végzi?</t>
    </r>
    <r>
      <rPr>
        <vertAlign val="superscript"/>
        <sz val="11"/>
        <color theme="1"/>
        <rFont val="Calibri"/>
        <family val="2"/>
        <charset val="238"/>
        <scheme val="minor"/>
      </rPr>
      <t>8</t>
    </r>
  </si>
  <si>
    <r>
      <rPr>
        <b/>
        <sz val="11"/>
        <rFont val="Calibri"/>
        <family val="2"/>
        <charset val="238"/>
      </rPr>
      <t xml:space="preserve">Figyelem! Az adatok tájékoztató jellegűek. A kalkulátor egyszerűsítő feltételezésekkel él, a tényleges adókötelezettség a számítottól eltérő lehet.
</t>
    </r>
    <r>
      <rPr>
        <sz val="11"/>
        <rFont val="Calibri"/>
        <family val="2"/>
        <charset val="238"/>
      </rPr>
      <t>Nagyobb eltéréseket okozhat, hogy a kalkulátor:
- az Ön által megadott adatok alapján figyelembe veszi a családi adókedvezményt és a munkáltatói adókból főszabály szerint igénybevehető kedvezményeket, de nem számol a 2019. óta már csak átmeneti rendelkezések révén alkalmazható, kifutó munkáltatói kedvezményekkel</t>
    </r>
    <r>
      <rPr>
        <vertAlign val="superscript"/>
        <sz val="11"/>
        <rFont val="Calibri"/>
        <family val="2"/>
        <charset val="238"/>
      </rPr>
      <t>1</t>
    </r>
    <r>
      <rPr>
        <sz val="11"/>
        <rFont val="Calibri"/>
        <family val="2"/>
        <charset val="238"/>
      </rPr>
      <t>;
- nem számol az iparűzési adóban és az egyes nyereségadózási formák mellett elérhető adó- és adóalap-kedvezményekkel</t>
    </r>
    <r>
      <rPr>
        <vertAlign val="superscript"/>
        <sz val="11"/>
        <rFont val="Calibri"/>
        <family val="2"/>
        <charset val="238"/>
      </rPr>
      <t>2</t>
    </r>
    <r>
      <rPr>
        <sz val="11"/>
        <rFont val="Calibri"/>
        <family val="2"/>
        <charset val="238"/>
      </rPr>
      <t>; 
- nem veszi figyelembe a vállalkozás alapvető működéséhez nem kapcsolódó, különös eredménytételeket (pl. nem a vállalkozás érdekében felmerült ráfordítás, bírság, pótlék, elengedett követelés), illetve a szokásos piaci ártól eltérő ár alkalmazásának következményeit</t>
    </r>
    <r>
      <rPr>
        <vertAlign val="superscript"/>
        <sz val="11"/>
        <rFont val="Calibri"/>
        <family val="2"/>
        <charset val="238"/>
      </rPr>
      <t>3</t>
    </r>
    <r>
      <rPr>
        <sz val="11"/>
        <rFont val="Calibri"/>
        <family val="2"/>
        <charset val="238"/>
      </rPr>
      <t>;
- a kisvállalati adó számításánál nem veszi figyelembe a házipénztár túlzott növekedéséhez kapcsolódó adóalap-növelő tételt</t>
    </r>
    <r>
      <rPr>
        <vertAlign val="superscript"/>
        <sz val="11"/>
        <rFont val="Calibri"/>
        <family val="2"/>
        <charset val="238"/>
      </rPr>
      <t>4</t>
    </r>
    <r>
      <rPr>
        <sz val="11"/>
        <rFont val="Calibri"/>
        <family val="2"/>
        <charset val="238"/>
      </rPr>
      <t>;
- nem számol a külföldön adóztatható jövedelmek kapcsán a kettős adóztatás elkerülését célzó speciális szabályokkal</t>
    </r>
    <r>
      <rPr>
        <vertAlign val="superscript"/>
        <sz val="11"/>
        <rFont val="Calibri"/>
        <family val="2"/>
        <charset val="238"/>
      </rPr>
      <t>5;</t>
    </r>
    <r>
      <rPr>
        <b/>
        <sz val="11"/>
        <rFont val="Calibri"/>
        <family val="2"/>
        <charset val="238"/>
      </rPr>
      <t xml:space="preserve">
</t>
    </r>
    <r>
      <rPr>
        <sz val="11"/>
        <rFont val="Calibri"/>
        <family val="2"/>
        <charset val="238"/>
      </rPr>
      <t>- feltételezi, hogy a vállalkozás székhelye és telephelye(i) ugyanazon a településen van(nak), aminek az iparűzési  adó számításánál van jelentősége</t>
    </r>
    <r>
      <rPr>
        <vertAlign val="superscript"/>
        <sz val="11"/>
        <rFont val="Calibri"/>
        <family val="2"/>
        <charset val="238"/>
      </rPr>
      <t>6</t>
    </r>
    <r>
      <rPr>
        <sz val="11"/>
        <rFont val="Calibri"/>
        <family val="2"/>
        <charset val="238"/>
      </rPr>
      <t xml:space="preserve">. </t>
    </r>
  </si>
  <si>
    <r>
      <rPr>
        <b/>
        <sz val="11"/>
        <rFont val="Calibri"/>
        <family val="2"/>
        <charset val="238"/>
      </rPr>
      <t xml:space="preserve">3. </t>
    </r>
    <r>
      <rPr>
        <sz val="11"/>
        <rFont val="Calibri"/>
        <family val="2"/>
        <charset val="238"/>
      </rPr>
      <t>Mind a kisvállalati-, mind a társasági adóban, ha az adózó kapcsolt vállalkozásával kötött szerződésében olyan ellenértéket határoz meg, amely nem felel meg a szokásos piaci árnak, az adóalapot a szokásos piaci ár és az ügyleti érték különbségével úgy módosítja, hogy az olyan adóalapnak feleljen meg, mint ha független vállalkozással kötött volna szerződést.</t>
    </r>
  </si>
  <si>
    <r>
      <rPr>
        <b/>
        <sz val="11"/>
        <rFont val="Calibri"/>
        <family val="2"/>
        <charset val="238"/>
      </rPr>
      <t>4.</t>
    </r>
    <r>
      <rPr>
        <sz val="11"/>
        <rFont val="Calibri"/>
        <family val="2"/>
        <charset val="238"/>
      </rPr>
      <t xml:space="preserve"> A KIVA hatálya alatt: a házipénztárral való visszaélések megelőzése érdekében amennyiben a pénztár értéke az összes bevétel 5 százalékát, de legalább 1 millió forintot és az átlépéskori összeget is meghaladja, a pénztár további növekedése növeli az adóalapot. Amennyiben ugyanakkor a későbbi években a pénztár értéke ismét csökkenne, a csökkenés adóalap-csökkentő tételként érvényesíthető.</t>
    </r>
  </si>
  <si>
    <r>
      <rPr>
        <b/>
        <sz val="11"/>
        <rFont val="Calibri"/>
        <family val="2"/>
        <charset val="238"/>
      </rPr>
      <t>Fontos! A kalkulátor az adókötelezettségeket az általános szabályok szerint becsüli meg</t>
    </r>
    <r>
      <rPr>
        <sz val="11"/>
        <rFont val="Calibri"/>
        <family val="2"/>
        <charset val="238"/>
      </rPr>
      <t>, nem az áttérést követő első adóévre. Ez azt jelenti, hogy az egyes adónemekben nem veszi figyelembe az  esetlegesen felmerülő, váltáshoz kapcsolódó egyszeri adóalap-módosító tételeket</t>
    </r>
    <r>
      <rPr>
        <vertAlign val="superscript"/>
        <sz val="11"/>
        <rFont val="Calibri"/>
        <family val="2"/>
        <charset val="238"/>
      </rPr>
      <t>7</t>
    </r>
    <r>
      <rPr>
        <sz val="11"/>
        <rFont val="Calibri"/>
        <family val="2"/>
        <charset val="238"/>
      </rPr>
      <t xml:space="preserve">. </t>
    </r>
  </si>
  <si>
    <r>
      <t>A vállalkozásban személyesen közreműködő főállású tagok száma</t>
    </r>
    <r>
      <rPr>
        <vertAlign val="superscript"/>
        <sz val="11"/>
        <rFont val="Calibri"/>
        <family val="2"/>
        <charset val="238"/>
      </rPr>
      <t>10</t>
    </r>
  </si>
  <si>
    <r>
      <t>A vállalkozásban személyesen közreműködő mellékállású tagok száma</t>
    </r>
    <r>
      <rPr>
        <vertAlign val="superscript"/>
        <sz val="11"/>
        <rFont val="Calibri"/>
        <family val="2"/>
        <charset val="238"/>
      </rPr>
      <t>10</t>
    </r>
  </si>
  <si>
    <r>
      <t>Az új Szociális hozzájárulási adótörvény alapján érvényesíthető</t>
    </r>
    <r>
      <rPr>
        <vertAlign val="superscript"/>
        <sz val="11"/>
        <rFont val="Calibri"/>
        <family val="2"/>
        <charset val="238"/>
      </rPr>
      <t xml:space="preserve"> </t>
    </r>
    <r>
      <rPr>
        <sz val="11"/>
        <rFont val="Calibri"/>
        <family val="2"/>
        <charset val="238"/>
      </rPr>
      <t>100%-os kedvezmények évesített alapja</t>
    </r>
    <r>
      <rPr>
        <vertAlign val="superscript"/>
        <sz val="11"/>
        <rFont val="Calibri"/>
        <family val="2"/>
        <charset val="238"/>
      </rPr>
      <t>1</t>
    </r>
  </si>
  <si>
    <r>
      <t>Az új Szociális hozzájárulási adótörvény alapján érvényesíthető 50%-os kedvezmények évesített alapja</t>
    </r>
    <r>
      <rPr>
        <vertAlign val="superscript"/>
        <sz val="11"/>
        <rFont val="Calibri"/>
        <family val="2"/>
        <charset val="238"/>
      </rPr>
      <t>1</t>
    </r>
  </si>
  <si>
    <r>
      <t>Megváltozott munkaképességű taggal összefüggésben érvényesíthető szociális hozzájárulási adókedvezmény évesített alapja</t>
    </r>
    <r>
      <rPr>
        <vertAlign val="superscript"/>
        <sz val="11"/>
        <rFont val="Calibri"/>
        <family val="2"/>
        <charset val="238"/>
      </rPr>
      <t>1</t>
    </r>
  </si>
  <si>
    <r>
      <t>Személyi jellegű kifizetések (figyelembe véve a kedvezményezett foglalkoztatott után érvényesíthető kedvezményeket</t>
    </r>
    <r>
      <rPr>
        <vertAlign val="superscript"/>
        <sz val="11"/>
        <rFont val="Calibri"/>
        <family val="2"/>
        <charset val="238"/>
      </rPr>
      <t>1</t>
    </r>
    <r>
      <rPr>
        <sz val="11"/>
        <rFont val="Calibri"/>
        <family val="2"/>
        <charset val="238"/>
      </rPr>
      <t xml:space="preserve">) 
(5.+6.+7.+22.-18.-19.*50%-20.) </t>
    </r>
  </si>
  <si>
    <t>Tudományos címmel rendelkező kutató, fejlesztő</t>
  </si>
  <si>
    <t>Munkaerőpiacra lépő (1-2. év)</t>
  </si>
  <si>
    <t>Munkaerőpiacra lépő (3. év)</t>
  </si>
  <si>
    <t>3+ gyermeket nevelő (1-3. év)</t>
  </si>
  <si>
    <t>3+ gyermeket nevelő (4-5. év)</t>
  </si>
  <si>
    <t>Megváltozott munkaképességű</t>
  </si>
  <si>
    <t>Doktori képzésben részt vevő</t>
  </si>
  <si>
    <t>Mezőgazdasági munkakör</t>
  </si>
  <si>
    <t>Szakképzettséget nem igénylő munkakör</t>
  </si>
  <si>
    <t>Szocho kedvezmény típusa</t>
  </si>
  <si>
    <t>Bruttó éves munkabér</t>
  </si>
  <si>
    <t>Kedvezmények nélküli szocho kötelezettség (éves)</t>
  </si>
  <si>
    <t>Szocho/KIVA kedvezmények alapja (éves)</t>
  </si>
  <si>
    <t>Szocho kedvezmények összege (éves)</t>
  </si>
  <si>
    <t>Fizetendő Szocho (éves)</t>
  </si>
  <si>
    <t>főlapról</t>
  </si>
  <si>
    <t>SZÍNKÓD</t>
  </si>
  <si>
    <t>Szocho kedvezmény plafonja (havi)</t>
  </si>
  <si>
    <t>ÖSSZESEN</t>
  </si>
  <si>
    <t>Családi adóalapkedvezményének havi összege 
(1 eltartott esetén: 66 670 Ft; 2 eltartott esetén: eltartottanként 133 330 Ft; 3 vagy több eltartott esetén: eltartottanként 220 000 Ft)</t>
  </si>
  <si>
    <t>egyéni/társas lapon hivatkozott cella</t>
  </si>
  <si>
    <t>Szakképzési hozzájárulás kedvezmény adóhatása, kivéve a gyakorlati képzés alapján igénybevehetőt (éves)</t>
  </si>
  <si>
    <t>Mi vonatkozik rá? Garantált bérminimum/minimálbér?</t>
  </si>
  <si>
    <t>Kivét (ill. társas vállalkozás esetén a tag részére, a személyes közreműködésére tekintettel kifizetett juttatás) havi összege</t>
  </si>
  <si>
    <t>Egyéni?</t>
  </si>
  <si>
    <r>
      <t>Az eszközök értékcsökkenése</t>
    </r>
    <r>
      <rPr>
        <vertAlign val="superscript"/>
        <sz val="11"/>
        <rFont val="Calibri"/>
        <family val="2"/>
        <charset val="238"/>
      </rPr>
      <t>4</t>
    </r>
  </si>
  <si>
    <r>
      <t>Kivét havi átlagos összege</t>
    </r>
    <r>
      <rPr>
        <vertAlign val="superscript"/>
        <sz val="11"/>
        <rFont val="Calibri"/>
        <family val="2"/>
        <scheme val="minor"/>
      </rPr>
      <t>7</t>
    </r>
    <r>
      <rPr>
        <sz val="11"/>
        <rFont val="Calibri"/>
        <family val="2"/>
        <scheme val="minor"/>
      </rPr>
      <t xml:space="preserve"> (az éves kivét 12-ed része)</t>
    </r>
  </si>
  <si>
    <r>
      <t>Főtevékenysége legalább középfokú végzettséget igényel?</t>
    </r>
    <r>
      <rPr>
        <vertAlign val="superscript"/>
        <sz val="11"/>
        <rFont val="Calibri"/>
        <family val="2"/>
        <scheme val="minor"/>
      </rPr>
      <t>15</t>
    </r>
  </si>
  <si>
    <r>
      <t>Megváltozott munkaképességű?</t>
    </r>
    <r>
      <rPr>
        <vertAlign val="superscript"/>
        <sz val="11"/>
        <rFont val="Calibri"/>
        <family val="2"/>
        <scheme val="minor"/>
      </rPr>
      <t>9</t>
    </r>
  </si>
  <si>
    <r>
      <t>A munkavállaló után érvényesíthető szociális hozzájárulási adó- és szakképzési hozzájárulás kedvezmény típusa</t>
    </r>
    <r>
      <rPr>
        <vertAlign val="superscript"/>
        <sz val="11"/>
        <rFont val="Calibri"/>
        <family val="2"/>
        <scheme val="minor"/>
      </rPr>
      <t>1</t>
    </r>
  </si>
  <si>
    <r>
      <rPr>
        <b/>
        <sz val="11"/>
        <rFont val="Calibri"/>
        <family val="2"/>
        <charset val="238"/>
        <scheme val="minor"/>
      </rPr>
      <t>1.</t>
    </r>
    <r>
      <rPr>
        <sz val="11"/>
        <rFont val="Calibri"/>
        <family val="2"/>
        <charset val="238"/>
        <scheme val="minor"/>
      </rPr>
      <t xml:space="preserve"> A kalkulátor a 2019-től hatályos szociális hozzájárulási adótörvény szerinti kedvezményeket veszi figyelembe (Szocho tv. 10-15.§), a Szocho tv. 16. § kutatás-fejlesztési tevékenységgel összefüggésben érvényesíthető adókedvezmény kivételével. E kedvezmények analóg megfelelői a kisvállalati adóból is igénybevehetők, amellyel a kalkulátor szintén számol. 
A kalkulátor ugyanakkor nem számol a 2019-től megszűnő, de átmeneti rendelkezés alapján még alkalmazható munkáltatói kedvezményekkel, amelyeket a 2011. évi CLVI. törvény IX. fejezete határozott meg! Ha ezen kedvezmények valamelyikének igénybevételére a jövőben még jogosult, akkor legyen tekintettel a következőkre: </t>
    </r>
  </si>
  <si>
    <r>
      <rPr>
        <b/>
        <sz val="11"/>
        <rFont val="Calibri"/>
        <family val="2"/>
        <charset val="238"/>
        <scheme val="minor"/>
      </rPr>
      <t>3.</t>
    </r>
    <r>
      <rPr>
        <sz val="11"/>
        <rFont val="Calibri"/>
        <family val="2"/>
        <charset val="238"/>
        <scheme val="minor"/>
      </rPr>
      <t xml:space="preserve"> A kalkulátor azzal az egyszerűsítő feltételezéssel él, hogy a vállalkozás egy településen működik, azaz csak egy településen keletkezik iparűzési adókötelezettsége. 
</t>
    </r>
    <r>
      <rPr>
        <b/>
        <sz val="11"/>
        <rFont val="Calibri"/>
        <family val="2"/>
        <charset val="238"/>
        <scheme val="minor"/>
      </rPr>
      <t>Figyelem!</t>
    </r>
    <r>
      <rPr>
        <sz val="11"/>
        <rFont val="Calibri"/>
        <family val="2"/>
        <charset val="238"/>
        <scheme val="minor"/>
      </rPr>
      <t xml:space="preserve"> Amennyiben ez az Ön vállalkozására nem igaz, úgy a kisadózók tételes adója mellett keletkező iparűzési adókötelezettségét a kalkulátor nagy valószínűséggel alulbecsli, tekintettel arra, hogy a 2,5 millió forintos átalány adóalap után minden településen meg kell  fizetnie az adót. Kérjük, erre legyen tekintettel az eredmények értelmezése során!</t>
    </r>
  </si>
  <si>
    <r>
      <rPr>
        <b/>
        <sz val="11"/>
        <rFont val="Calibri"/>
        <family val="2"/>
        <charset val="238"/>
        <scheme val="minor"/>
      </rPr>
      <t>5.</t>
    </r>
    <r>
      <rPr>
        <sz val="11"/>
        <rFont val="Calibri"/>
        <family val="2"/>
        <charset val="238"/>
        <scheme val="minor"/>
      </rPr>
      <t xml:space="preserve"> Ha Ön egyéni vállalkozó, akkor e sorban adja meg minden olyan költségének összegét, amelyet a megelőző sorokban nem tüntetett fel, kivéve a munkavállalói és saját maga részére kifizetett személyi jellegű juttatásokat, a szociális hozzájárulási adó- és szakképzési hozzájárulás kötelezettségét, illetve iparűzési adóját. 
Ha az Ön vállalkozása társas vállalkozás, akkor e sorban kell megadnia az igénybevett és egyéb szolgáltatások értékét, a számviteli törvény szerinti egyéb ráfordítások összegét az iparűzési adó kivételével, a befektetési szolgáltatási tevékenység és egyéb biztosítástechnikai ráfordításait, továbbá pénzügyi ráfordításainak összegét.</t>
    </r>
  </si>
  <si>
    <r>
      <rPr>
        <b/>
        <sz val="11"/>
        <rFont val="Calibri"/>
        <family val="2"/>
        <charset val="238"/>
        <scheme val="minor"/>
      </rPr>
      <t>11.</t>
    </r>
    <r>
      <rPr>
        <sz val="11"/>
        <rFont val="Calibri"/>
        <family val="2"/>
        <charset val="238"/>
        <scheme val="minor"/>
      </rPr>
      <t xml:space="preserve"> A kalkulátor az átalányadózó egyéni vállalkozók költségátalányát 40%-nak feltételezi, noha az tevékenységétől függően ettől eltérő érték is lehet. </t>
    </r>
    <r>
      <rPr>
        <b/>
        <sz val="11"/>
        <rFont val="Calibri"/>
        <family val="2"/>
        <charset val="238"/>
        <scheme val="minor"/>
      </rPr>
      <t>Az alkalmazott költségátalány értékét az egyéni válalkozókra vonatkozó részletes levezetést tartalmazó munkafüzetlapon lehetősége van pontosítani.
Átalányadózás választására csak akkor jogosult, ha bevételei nem haladják meg a 15 millió forintot, vagy kizárólag kiskereskedelmi tevékenység végzése esetén a 100 millió forintot. Amennyiben érdekli az átalányadózás és kiskereskedelmi tevékenységet végez, az egyéni válalkozókra vonatkozó részletes levezetést tartalmazó munkafüzetlapon állítsa be az Önre vonatkozó költségátalányt!</t>
    </r>
  </si>
  <si>
    <r>
      <t>Nyereségadó</t>
    </r>
    <r>
      <rPr>
        <b/>
        <vertAlign val="superscript"/>
        <sz val="11"/>
        <color theme="3"/>
        <rFont val="Calibri"/>
        <family val="2"/>
        <charset val="238"/>
        <scheme val="minor"/>
      </rPr>
      <t>12</t>
    </r>
  </si>
  <si>
    <t>Átalányadózó egyéni vállalkozók a kapott támogatás után nem az átalányadózás, hanem a önálló tevékenységből származó jövedelem szabályainak megfelelően, 10 százalékos költségátalányt, illetve tételes költségelszámolást választva adóznak. A kalkulátor itt is egyszerűsítve számol, a vállalkozói átalányköltséget feltételezve a támogatások esetén is.</t>
  </si>
  <si>
    <r>
      <rPr>
        <b/>
        <sz val="11"/>
        <rFont val="Calibri"/>
        <family val="2"/>
        <charset val="238"/>
      </rPr>
      <t>1.</t>
    </r>
    <r>
      <rPr>
        <sz val="11"/>
        <rFont val="Calibri"/>
        <family val="2"/>
        <charset val="238"/>
      </rPr>
      <t xml:space="preserve"> Lásd a főlap 1-es lábjegyzetét.</t>
    </r>
  </si>
  <si>
    <r>
      <rPr>
        <b/>
        <sz val="11"/>
        <rFont val="Calibri"/>
        <family val="2"/>
        <charset val="238"/>
      </rPr>
      <t>2.</t>
    </r>
    <r>
      <rPr>
        <sz val="11"/>
        <rFont val="Calibri"/>
        <family val="2"/>
        <charset val="238"/>
      </rPr>
      <t xml:space="preserve"> Lásd a főlap 2-es lábjegyzetét.</t>
    </r>
  </si>
  <si>
    <r>
      <rPr>
        <b/>
        <sz val="11"/>
        <rFont val="Calibri"/>
        <family val="2"/>
        <charset val="238"/>
      </rPr>
      <t>3.</t>
    </r>
    <r>
      <rPr>
        <sz val="11"/>
        <rFont val="Calibri"/>
        <family val="2"/>
        <charset val="238"/>
      </rPr>
      <t xml:space="preserve"> Lásd a főlap 3-as lábjegyzetét.</t>
    </r>
  </si>
  <si>
    <r>
      <rPr>
        <b/>
        <sz val="11"/>
        <rFont val="Calibri"/>
        <family val="2"/>
        <charset val="238"/>
      </rPr>
      <t>4</t>
    </r>
    <r>
      <rPr>
        <sz val="11"/>
        <rFont val="Calibri"/>
        <family val="2"/>
        <charset val="238"/>
        <scheme val="minor"/>
      </rPr>
      <t>.</t>
    </r>
    <r>
      <rPr>
        <sz val="11"/>
        <rFont val="Calibri"/>
        <family val="2"/>
        <charset val="238"/>
      </rPr>
      <t xml:space="preserve"> Lásd a főlap 4-es lábjegyzetét.</t>
    </r>
  </si>
  <si>
    <r>
      <rPr>
        <b/>
        <sz val="11"/>
        <rFont val="Calibri"/>
        <family val="2"/>
        <charset val="238"/>
      </rPr>
      <t>5</t>
    </r>
    <r>
      <rPr>
        <sz val="11"/>
        <rFont val="Calibri"/>
        <family val="2"/>
        <charset val="238"/>
      </rPr>
      <t>. Az iparűzési adó alapját főszabályként a saját tevékenységi körben végzett K+F tevékenység közvetlen költsége is csökkenti, a kalkulátor azonban nem számol ezzel.</t>
    </r>
  </si>
  <si>
    <r>
      <rPr>
        <b/>
        <sz val="11"/>
        <rFont val="Calibri"/>
        <family val="2"/>
        <charset val="238"/>
      </rPr>
      <t>10</t>
    </r>
    <r>
      <rPr>
        <sz val="11"/>
        <rFont val="Calibri"/>
        <family val="2"/>
        <charset val="238"/>
        <scheme val="minor"/>
      </rPr>
      <t>.</t>
    </r>
    <r>
      <rPr>
        <sz val="11"/>
        <rFont val="Calibri"/>
        <family val="2"/>
        <charset val="238"/>
      </rPr>
      <t xml:space="preserve"> Az átalányadózás választásának jogosultsági feltételeit lásd a főlap 11-es lábjegyzetében.</t>
    </r>
  </si>
  <si>
    <t>Kitöltötték-e az adott személyre vonatkozó oszlopot?</t>
  </si>
  <si>
    <t>TÁRSAS VÁLLALKOZÓ TAGOK RÉSZESEDÉSÉNEK ELLENŐRZÉSE</t>
  </si>
  <si>
    <t>Összes feltétel</t>
  </si>
  <si>
    <t>Figyelmeztet, ha a tagok összrészesdése nem 100%</t>
  </si>
  <si>
    <t>Figyelmeztet, ha egytlen tag a 100%-os tulajdonosként kerül megadásra</t>
  </si>
  <si>
    <r>
      <t>Vállalkozási tevékenysége szempontjából aktív hónapjainak száma</t>
    </r>
    <r>
      <rPr>
        <vertAlign val="superscript"/>
        <sz val="11"/>
        <color theme="1"/>
        <rFont val="Calibri"/>
        <family val="2"/>
        <charset val="238"/>
        <scheme val="minor"/>
      </rPr>
      <t>6</t>
    </r>
  </si>
  <si>
    <t>A társas vállalkozás tagjainak részesedése</t>
  </si>
  <si>
    <r>
      <t>A</t>
    </r>
    <r>
      <rPr>
        <b/>
        <sz val="11"/>
        <rFont val="Calibri"/>
        <family val="2"/>
        <charset val="238"/>
      </rPr>
      <t xml:space="preserve"> tárgyévi eredmény terhére</t>
    </r>
    <r>
      <rPr>
        <sz val="11"/>
        <rFont val="Calibri"/>
        <family val="2"/>
        <charset val="238"/>
      </rPr>
      <t xml:space="preserve"> kifizetni tervezett osztalék </t>
    </r>
  </si>
  <si>
    <t>Kivét(ill. társas vállalkozás esetén a tag részére, a személyes közreműködésére tekintettel kifizetett juttatás) éves összege</t>
  </si>
  <si>
    <t>Természetbeni e-járulék alap (4%)</t>
  </si>
  <si>
    <t>Pénzbeli e-járulék alap (3%)</t>
  </si>
  <si>
    <t>Munkaerőpiaci járulékalap (1,5%)</t>
  </si>
  <si>
    <t>Kell-e alkalmazni a minimum alapot? (mellékállásúnak, nyugdíjasnak nem kell)</t>
  </si>
  <si>
    <t>Kell-e fizetni adót/járulékot?</t>
  </si>
  <si>
    <t>Adók és járulékok tényleges alapja (HAVI)</t>
  </si>
  <si>
    <t>Megváltozott munkaképességűek kedvezményalapja a szakképzésiben (HAVI)</t>
  </si>
  <si>
    <t>Megváltozott munkaképességűek kedvezménye</t>
  </si>
  <si>
    <t>Szja családi kedvezmény nélkül</t>
  </si>
  <si>
    <t>Fizetendő Szja</t>
  </si>
  <si>
    <t>SZJA-ban érvényesített családi kedvezmény</t>
  </si>
  <si>
    <t>Családi kedvezmény adóhatása</t>
  </si>
  <si>
    <t>Családi kedvezmény éves összege</t>
  </si>
  <si>
    <t>Nyugdíjjárulék alap</t>
  </si>
  <si>
    <t xml:space="preserve">Szakképzési </t>
  </si>
  <si>
    <t xml:space="preserve">Szocho </t>
  </si>
  <si>
    <t>Nyugdíjjárulékból</t>
  </si>
  <si>
    <t>Családi járulékkedvezmény</t>
  </si>
  <si>
    <t>Természetbeni e-járulék alapból (4%)</t>
  </si>
  <si>
    <t>Pénzbeli e-járulék alapból (3%)</t>
  </si>
  <si>
    <t>Fizetendő Járulékok</t>
  </si>
  <si>
    <t>Fizetendő adó és járulék családi kedvezmény nélkül</t>
  </si>
  <si>
    <r>
      <rPr>
        <b/>
        <sz val="11"/>
        <rFont val="Calibri"/>
        <family val="2"/>
        <charset val="238"/>
        <scheme val="minor"/>
      </rPr>
      <t>2.</t>
    </r>
    <r>
      <rPr>
        <sz val="11"/>
        <rFont val="Calibri"/>
        <family val="2"/>
        <charset val="238"/>
        <scheme val="minor"/>
      </rPr>
      <t xml:space="preserve"> A társasági adó, kisvállalati adó, személyi jövedelemadó és helyi iparűzési adó szabályozása számos adó- és adóalapkedvezményt biztosít. A felsorolt adónemek mindegyikéből igénybevehető – egyebek mellett – a beruházásokkal és a K+F tevékenységgel összefügő kedvezmény. Tevékenységétől illetve bevételétől függően szintén jelentősége lehet az Ön számára az iparűzési adóban az útdíjjal összefüggésben érvényesíthető, illetve az önkormányzat saját döntése alapján biztosított kedvezményeknek, mentességeknek. </t>
    </r>
  </si>
  <si>
    <r>
      <rPr>
        <b/>
        <sz val="11"/>
        <rFont val="Calibri"/>
        <family val="2"/>
        <charset val="238"/>
      </rPr>
      <t>5.</t>
    </r>
    <r>
      <rPr>
        <sz val="11"/>
        <rFont val="Calibri"/>
        <family val="2"/>
        <charset val="238"/>
      </rPr>
      <t xml:space="preserve"> A külföldön adóztatható jövedelem elszámolható mind a társasági adóban, mind  a kisvállalati adóban az adóalap csökkentése („mentesítés”), vagy a külföldön megfizetett (fizetendő) adó hazai kötelezettségbe való beszámítása révén.</t>
    </r>
  </si>
  <si>
    <t>Anyagköltség, eladott áruk beszerzési értéke, közvetített szolgáltatások és alvállalkozói teljesítések értéke</t>
  </si>
  <si>
    <t>NAV információs füzet az egyéni vállalkozók járuékfizetési szabályairól</t>
  </si>
  <si>
    <t>NAV információs füzet a társas vállalkozók járulékfizetési szabalyairól</t>
  </si>
  <si>
    <t>Az egyéni vállalkozó, illetve a vállalkozás tagjainak adatai</t>
  </si>
  <si>
    <t>Munkavállalók, foglalkoztatottak adatai</t>
  </si>
  <si>
    <r>
      <t xml:space="preserve">Egyéb működési (üzemi) és pénzügyi ráfordítás, </t>
    </r>
    <r>
      <rPr>
        <b/>
        <sz val="11"/>
        <rFont val="Calibri"/>
        <family val="2"/>
        <charset val="238"/>
      </rPr>
      <t>kivéve</t>
    </r>
    <r>
      <rPr>
        <sz val="11"/>
        <rFont val="Calibri"/>
        <family val="2"/>
        <charset val="238"/>
      </rPr>
      <t xml:space="preserve"> a személyi jellegű kifizetéseket (ideértve a munkáltatói adókat) és az iparűzési adót</t>
    </r>
    <r>
      <rPr>
        <vertAlign val="superscript"/>
        <sz val="11"/>
        <rFont val="Calibri"/>
        <family val="2"/>
        <charset val="238"/>
      </rPr>
      <t>5</t>
    </r>
  </si>
  <si>
    <t>Adóterhek átalányadózást választó szja-s egyéni vállalkozóként</t>
  </si>
  <si>
    <t>Kedvezményalap plafonja (HAVI)</t>
  </si>
  <si>
    <t>Kedvezményalap (HAVI)</t>
  </si>
  <si>
    <t>Kedvezmény adóhatása szochóban (ÉVES)</t>
  </si>
  <si>
    <t>Kedvezmény adóhatása a szakképzésiben (ÉVES)</t>
  </si>
  <si>
    <t>Elméleti adó- és járulékalapok (csak a szozók és minimumok alkalmazása) (HAVI)</t>
  </si>
  <si>
    <t>Elméleti adó- és járulékalapok (csak a szozók és minimumok alkalmazása) (ÉVES)</t>
  </si>
  <si>
    <t>Adók és járulékok tényleges alapja (ÉVES)</t>
  </si>
  <si>
    <t>Megváltozott munkaképességűek kedvezménye (ÉVES)</t>
  </si>
  <si>
    <t>Kedvezményalap plafonja</t>
  </si>
  <si>
    <t>Kedvezményalap</t>
  </si>
  <si>
    <t>Munkáltatói adók és járulékok számítása családi kedvezmény nélkül - kivéve átalányadózó</t>
  </si>
  <si>
    <t>Szja és járulékok családi kedvezménnyel - kivéve átalányadózó</t>
  </si>
  <si>
    <r>
      <t>Munkavállalók után igénybevehető szociális hozzájárulási adó- és szakképzési hozzájárulás kedvezmények a főlapon megadott adatok</t>
    </r>
    <r>
      <rPr>
        <vertAlign val="superscript"/>
        <sz val="11"/>
        <rFont val="Calibri"/>
        <family val="2"/>
        <charset val="238"/>
      </rPr>
      <t>1</t>
    </r>
    <r>
      <rPr>
        <sz val="11"/>
        <rFont val="Calibri"/>
        <family val="2"/>
        <charset val="238"/>
      </rPr>
      <t xml:space="preserve"> illetve a 11. sorban megadott érték alapján </t>
    </r>
  </si>
  <si>
    <r>
      <rPr>
        <b/>
        <sz val="11"/>
        <rFont val="Calibri"/>
        <family val="2"/>
        <charset val="238"/>
      </rPr>
      <t>Kisadózók tételes adója</t>
    </r>
    <r>
      <rPr>
        <sz val="11"/>
        <rFont val="Calibri"/>
        <family val="2"/>
        <charset val="238"/>
      </rPr>
      <t xml:space="preserve"> (az aktív hónapokra számított havi tételes adók + a 12 millió forintos értékhatár aktív hónapokra jutó időarányos részét meghaladó bevétel 40%-a: 1.*15. + (2.+3.-12M/12*1.)*40%)</t>
    </r>
  </si>
  <si>
    <r>
      <t>A helyi iparűzési adó főszabály szerint meghatározott alapja (2.-4.)</t>
    </r>
    <r>
      <rPr>
        <vertAlign val="superscript"/>
        <sz val="11"/>
        <rFont val="Calibri"/>
        <family val="2"/>
        <charset val="238"/>
      </rPr>
      <t>5</t>
    </r>
  </si>
  <si>
    <r>
      <rPr>
        <b/>
        <sz val="11"/>
        <rFont val="Calibri"/>
        <family val="2"/>
        <charset val="238"/>
      </rPr>
      <t>Helyi iparűzési adó</t>
    </r>
    <r>
      <rPr>
        <sz val="11"/>
        <rFont val="Calibri"/>
        <family val="2"/>
        <charset val="238"/>
      </rPr>
      <t xml:space="preserve"> (17., 18. és 19. közül a kisebb érték és 14. szorzata)</t>
    </r>
    <r>
      <rPr>
        <vertAlign val="superscript"/>
        <sz val="11"/>
        <rFont val="Calibri"/>
        <family val="2"/>
        <charset val="238"/>
      </rPr>
      <t>6</t>
    </r>
  </si>
  <si>
    <r>
      <t>Munkavállalók után igénybevehető szociális hozzájárulási adó- és szakképzési hozzájárulás kedvezmények a főlapon megadott adatok illetve a 11. sorban megadott érték alapján</t>
    </r>
    <r>
      <rPr>
        <vertAlign val="superscript"/>
        <sz val="11"/>
        <rFont val="Calibri"/>
        <family val="2"/>
        <charset val="238"/>
      </rPr>
      <t>1</t>
    </r>
  </si>
  <si>
    <r>
      <rPr>
        <b/>
        <sz val="11"/>
        <rFont val="Calibri"/>
        <family val="2"/>
        <charset val="238"/>
      </rPr>
      <t>Munkavállalók után fizetendő szociális hozzájárulási adó és szakképzési hozzájárulás</t>
    </r>
    <r>
      <rPr>
        <sz val="11"/>
        <rFont val="Calibri"/>
        <family val="2"/>
        <charset val="238"/>
      </rPr>
      <t xml:space="preserve"> (21.-22.)</t>
    </r>
  </si>
  <si>
    <t xml:space="preserve">Vállalkozását mellékállásban végzi? </t>
  </si>
  <si>
    <t>Ha nincs kitöltve, akkor "Nem" az alapértelmezett.</t>
  </si>
  <si>
    <t>Átalányadózás esetén a tevékenységhez tartozó átalányköltség kiegészítő tevékenység (nyugdíjas) esetén, az előző sor értéke alapján</t>
  </si>
  <si>
    <r>
      <t>Az egyéni vállalkozói kivéttel (8.) összefüggésben keletkező szociális hozzájárulási adóalap</t>
    </r>
    <r>
      <rPr>
        <vertAlign val="superscript"/>
        <sz val="11"/>
        <rFont val="Calibri"/>
        <family val="2"/>
        <charset val="238"/>
      </rPr>
      <t>7</t>
    </r>
  </si>
  <si>
    <r>
      <t>Az egyéni vállalkozói kivét után fizetendő szociális hozzájárulási adó</t>
    </r>
    <r>
      <rPr>
        <sz val="11"/>
        <rFont val="Calibri"/>
        <family val="2"/>
        <charset val="238"/>
      </rPr>
      <t>, figyelemmel a megváltozott munkaképességű vállalkozók kedvezményére (31.*17,5% csökkentve a megváltozott munkaképességű vállalkozó kedvezményével)</t>
    </r>
  </si>
  <si>
    <r>
      <t xml:space="preserve">Munkavállalók után fizetendő szociális hozzájárulási adó és szakképzési hozzájárulás </t>
    </r>
    <r>
      <rPr>
        <sz val="11"/>
        <rFont val="Calibri"/>
        <family val="2"/>
        <charset val="238"/>
        <scheme val="minor"/>
      </rPr>
      <t>(33.-34.)</t>
    </r>
  </si>
  <si>
    <r>
      <t xml:space="preserve">Helyi iparűzési adó </t>
    </r>
    <r>
      <rPr>
        <sz val="11"/>
        <rFont val="Calibri"/>
        <family val="2"/>
        <charset val="238"/>
      </rPr>
      <t>(36. és 37. közül a kisebb és 14. szorzata)</t>
    </r>
    <r>
      <rPr>
        <vertAlign val="superscript"/>
        <sz val="11"/>
        <rFont val="Calibri"/>
        <family val="2"/>
        <charset val="238"/>
      </rPr>
      <t>6</t>
    </r>
  </si>
  <si>
    <t>A vállalkozás összes ráfordítása (4.+5.+6.+7.+8.+9.+10.+32.+35.+38.)</t>
  </si>
  <si>
    <t>Vállalkozói eredmény (39.-40.)</t>
  </si>
  <si>
    <r>
      <t>Vállalkozói adóalap (41., ha ez pozitív)</t>
    </r>
    <r>
      <rPr>
        <vertAlign val="superscript"/>
        <sz val="11"/>
        <rFont val="Calibri"/>
        <family val="2"/>
        <charset val="238"/>
      </rPr>
      <t>8</t>
    </r>
  </si>
  <si>
    <r>
      <t>Vállalkozói osztalékalap után fizetendő szociális hozzájárulási adó</t>
    </r>
    <r>
      <rPr>
        <b/>
        <vertAlign val="superscript"/>
        <sz val="11"/>
        <rFont val="Calibri"/>
        <family val="2"/>
        <charset val="238"/>
      </rPr>
      <t>9</t>
    </r>
    <r>
      <rPr>
        <b/>
        <sz val="11"/>
        <rFont val="Calibri"/>
        <family val="2"/>
        <charset val="238"/>
      </rPr>
      <t xml:space="preserve"> 
</t>
    </r>
    <r>
      <rPr>
        <sz val="11"/>
        <rFont val="Calibri"/>
        <family val="2"/>
        <charset val="238"/>
      </rPr>
      <t>(44.*17,5%, de legfeljebb az éves minimálbér kétszerese és a vállalkozói kivét (8.) különbségének 17,5%-a)</t>
    </r>
  </si>
  <si>
    <t>Az átalányadó alapjába beszámító bevétel (2.+3.)</t>
  </si>
  <si>
    <t>Alkalmazható átalányköltség (nyugdíjas vállalkozó esetén 13., egyébként 12.)</t>
  </si>
  <si>
    <r>
      <t>A tárgyévi eredmény terhére kifizetni tervezett osztalék</t>
    </r>
    <r>
      <rPr>
        <vertAlign val="superscript"/>
        <sz val="11"/>
        <rFont val="Calibri"/>
        <family val="2"/>
        <charset val="238"/>
      </rPr>
      <t>9</t>
    </r>
  </si>
  <si>
    <r>
      <t>Adóterhek a kisvállalati adó (KIVA) hatálya alatt</t>
    </r>
    <r>
      <rPr>
        <sz val="16"/>
        <color theme="3"/>
        <rFont val="Calibri"/>
        <family val="2"/>
        <charset val="238"/>
      </rPr>
      <t xml:space="preserve"> </t>
    </r>
    <r>
      <rPr>
        <sz val="11"/>
        <color theme="3"/>
        <rFont val="Calibri"/>
        <family val="2"/>
        <charset val="238"/>
      </rPr>
      <t>(26.+30.+31.+38.+39.)</t>
    </r>
  </si>
  <si>
    <r>
      <t>A tagok részére kifizetett osztalékot terhelő személyi jövedelemadó</t>
    </r>
    <r>
      <rPr>
        <vertAlign val="superscript"/>
        <sz val="11"/>
        <rFont val="Calibri"/>
        <family val="2"/>
        <charset val="238"/>
      </rPr>
      <t xml:space="preserve">15 </t>
    </r>
    <r>
      <rPr>
        <sz val="11"/>
        <rFont val="Calibri"/>
        <family val="2"/>
        <charset val="238"/>
      </rPr>
      <t>(13.*15%)</t>
    </r>
  </si>
  <si>
    <r>
      <t>A személyi jellegű kifizetéseken felüli adóalapmódosító tételek egyenlege (12-11.+13.-2.)</t>
    </r>
    <r>
      <rPr>
        <vertAlign val="superscript"/>
        <sz val="11"/>
        <rFont val="Calibri"/>
        <family val="2"/>
        <charset val="238"/>
      </rPr>
      <t>9</t>
    </r>
  </si>
  <si>
    <r>
      <t>A KIVA alapja (23.+24., de legalább 23.)</t>
    </r>
    <r>
      <rPr>
        <vertAlign val="superscript"/>
        <sz val="11"/>
        <rFont val="Calibri"/>
        <family val="2"/>
        <charset val="238"/>
      </rPr>
      <t>12</t>
    </r>
  </si>
  <si>
    <r>
      <t>A helyi iparűzési adó főszabály szerint meghatározott alapja (1.-4.)</t>
    </r>
    <r>
      <rPr>
        <vertAlign val="superscript"/>
        <sz val="11"/>
        <rFont val="Calibri"/>
        <family val="2"/>
        <charset val="238"/>
      </rPr>
      <t>13</t>
    </r>
  </si>
  <si>
    <r>
      <t xml:space="preserve">Helyi iparűzési adó </t>
    </r>
    <r>
      <rPr>
        <sz val="11"/>
        <rFont val="Calibri"/>
        <family val="2"/>
        <charset val="238"/>
      </rPr>
      <t>(27., 28. és 29. közül a kisebb érték és 14. szorzata)</t>
    </r>
    <r>
      <rPr>
        <vertAlign val="superscript"/>
        <sz val="11"/>
        <rFont val="Calibri"/>
        <family val="2"/>
        <charset val="238"/>
      </rPr>
      <t>14</t>
    </r>
  </si>
  <si>
    <r>
      <t>Társasági adóalap</t>
    </r>
    <r>
      <rPr>
        <vertAlign val="superscript"/>
        <sz val="11"/>
        <rFont val="Calibri"/>
        <family val="2"/>
        <charset val="238"/>
      </rPr>
      <t>16</t>
    </r>
    <r>
      <rPr>
        <sz val="11"/>
        <rFont val="Calibri"/>
        <family val="2"/>
        <charset val="238"/>
      </rPr>
      <t xml:space="preserve"> (47.-2., ha ez pozitív)</t>
    </r>
  </si>
  <si>
    <r>
      <t xml:space="preserve">Társasági adó </t>
    </r>
    <r>
      <rPr>
        <sz val="11"/>
        <rFont val="Calibri"/>
        <family val="2"/>
        <charset val="238"/>
      </rPr>
      <t>(48. *9%)</t>
    </r>
    <r>
      <rPr>
        <vertAlign val="superscript"/>
        <sz val="11"/>
        <rFont val="Calibri"/>
        <family val="2"/>
        <charset val="238"/>
      </rPr>
      <t>16</t>
    </r>
  </si>
  <si>
    <r>
      <t xml:space="preserve">Helyi iparűzési adó </t>
    </r>
    <r>
      <rPr>
        <sz val="11"/>
        <rFont val="Calibri"/>
        <family val="2"/>
        <charset val="238"/>
      </rPr>
      <t>(42. és 43. közül a kisebb érték és 19. szorzata)</t>
    </r>
    <r>
      <rPr>
        <vertAlign val="superscript"/>
        <sz val="11"/>
        <rFont val="Calibri"/>
        <family val="2"/>
        <charset val="238"/>
      </rPr>
      <t>14</t>
    </r>
  </si>
  <si>
    <r>
      <t>A tagok részére kifizetett osztalékot terhelő szociális hozzájárulási adó</t>
    </r>
    <r>
      <rPr>
        <vertAlign val="superscript"/>
        <sz val="11"/>
        <rFont val="Calibri"/>
        <family val="2"/>
        <charset val="238"/>
      </rPr>
      <t>15</t>
    </r>
    <r>
      <rPr>
        <b/>
        <vertAlign val="superscript"/>
        <sz val="11"/>
        <rFont val="Calibri"/>
        <family val="2"/>
        <charset val="238"/>
      </rPr>
      <t xml:space="preserve">
</t>
    </r>
    <r>
      <rPr>
        <sz val="11"/>
        <rFont val="Calibri"/>
        <family val="2"/>
        <charset val="238"/>
      </rPr>
      <t>(minden tagra összegezve: 13. értékéből a tagra jutó rész*17,5%, de legfeljebb az éves minimálbér kétszerese és a tagi kivét (8.-ból a tag vonatkozásában megadott összeg) különbségének 17,5%-a)</t>
    </r>
  </si>
  <si>
    <r>
      <rPr>
        <b/>
        <sz val="11"/>
        <rFont val="Calibri"/>
        <family val="2"/>
        <charset val="238"/>
      </rPr>
      <t>Helyi iparűzési adó</t>
    </r>
    <r>
      <rPr>
        <sz val="11"/>
        <rFont val="Calibri"/>
        <family val="2"/>
        <charset val="238"/>
      </rPr>
      <t xml:space="preserve"> (60., 61. és 62. közül a kisebb érték és 14. szorzata)</t>
    </r>
    <r>
      <rPr>
        <vertAlign val="superscript"/>
        <sz val="11"/>
        <rFont val="Calibri"/>
        <family val="2"/>
        <charset val="238"/>
      </rPr>
      <t>14</t>
    </r>
  </si>
  <si>
    <r>
      <rPr>
        <b/>
        <sz val="11"/>
        <rFont val="Calibri"/>
        <family val="2"/>
        <charset val="238"/>
      </rPr>
      <t>6</t>
    </r>
    <r>
      <rPr>
        <sz val="11"/>
        <rFont val="Calibri"/>
        <family val="2"/>
        <charset val="238"/>
        <scheme val="minor"/>
      </rPr>
      <t>.</t>
    </r>
    <r>
      <rPr>
        <sz val="11"/>
        <rFont val="Calibri"/>
        <family val="2"/>
        <charset val="238"/>
      </rPr>
      <t xml:space="preserve"> Lásd a főlap 3-as lábjegyzetét.</t>
    </r>
  </si>
  <si>
    <r>
      <rPr>
        <b/>
        <sz val="11"/>
        <rFont val="Calibri"/>
        <family val="2"/>
        <charset val="238"/>
      </rPr>
      <t>8.</t>
    </r>
    <r>
      <rPr>
        <sz val="11"/>
        <rFont val="Calibri"/>
        <family val="2"/>
        <charset val="238"/>
      </rPr>
      <t xml:space="preserve"> Lásd a főlap 4-es lábjegyzetét. (A társasági adó szerint elismert értékcsökkenési leírás összege valamelyest eltérhet a számvitelitől, azonban ezt az eltérést a kalkulátor nem veszi figyelembe.)</t>
    </r>
  </si>
  <si>
    <r>
      <rPr>
        <b/>
        <sz val="11"/>
        <rFont val="Calibri"/>
        <family val="2"/>
        <charset val="238"/>
      </rPr>
      <t>9.</t>
    </r>
    <r>
      <rPr>
        <sz val="11"/>
        <rFont val="Calibri"/>
        <family val="2"/>
        <charset val="238"/>
      </rPr>
      <t xml:space="preserve"> A kisvállalati adó esetében a </t>
    </r>
    <r>
      <rPr>
        <b/>
        <sz val="11"/>
        <rFont val="Calibri"/>
        <family val="2"/>
        <charset val="238"/>
      </rPr>
      <t>tárgyévben kifizetett</t>
    </r>
    <r>
      <rPr>
        <sz val="11"/>
        <rFont val="Calibri"/>
        <family val="2"/>
        <charset val="238"/>
      </rPr>
      <t xml:space="preserve"> osztalék, azaz jellemzően az előző évek eredménye terhére kifizetett osztalék képezi a tárgyévi adó alapját. Ezzel ellentétben a kalkulátor az Ön által a tárgyévi eredmény terhére tervezett (leghamarabb a tárgyévet követő év során kifizetendő) osztalékot állítja be a tárgyévi adóalap növeléseként. Ez a megoldás azonban csak a kötelezettségeinek időzítése szempontjából pontatlan, az egyes adózási módok hosszú távon való összehasonlítására maradéktalanul alkalmas. 
Emellett fontos tudnia, hogy a KIVA adóalanyiság ideje alatt kifizetett osztalék összegéből csak az adóalanyiság ideje alatt keletkezett eredmény, eredménytartalék terhére kifizetett rész adóköteles. </t>
    </r>
  </si>
  <si>
    <r>
      <rPr>
        <b/>
        <sz val="11"/>
        <rFont val="Calibri"/>
        <family val="2"/>
        <charset val="238"/>
      </rPr>
      <t>10.</t>
    </r>
    <r>
      <rPr>
        <sz val="11"/>
        <rFont val="Calibri"/>
        <family val="2"/>
        <charset val="238"/>
      </rPr>
      <t xml:space="preserve"> Lásd a főlap 8-as és 10-es lábjegyzetét.</t>
    </r>
  </si>
  <si>
    <r>
      <rPr>
        <b/>
        <sz val="11"/>
        <rFont val="Calibri"/>
        <family val="2"/>
        <charset val="238"/>
      </rPr>
      <t>12.</t>
    </r>
    <r>
      <rPr>
        <sz val="11"/>
        <rFont val="Calibri"/>
        <family val="2"/>
        <charset val="238"/>
      </rPr>
      <t xml:space="preserve"> A KIVA alapját a kalkuláció során figyelembe vett tételeken kívül néhány másik tényező is befolyásolhatja. Ezek közül azonban a veszteségelhatárolás az egyetlen olyan, amely általánosan felmerül. Amennyiben az adóalap meghatározása során a személyi jellegű kifizetéseken felüli tételek egyenlege negatív, ez az összeg elhatárolható, és a következő években felhasználható a személyi jellegű kifizetéseken felüli adóalaprész csökkentéseként. Emellett, bizonyos „új” beruházások megvalósítása esetén lehetőség van az elhatárolt veszteséget már a keletkezése évében, a személyi jellegű kifizetésekből adódó adóalaprésszel szemben is felhasználni, amelynek pontos szabályát a kisadózó vállalkozások tételes adójáról és a kisvállalati adóról szóló 2012. évi CXLVII. törvény 20. § (7) tartalmazza.</t>
    </r>
  </si>
  <si>
    <r>
      <rPr>
        <b/>
        <sz val="11"/>
        <rFont val="Calibri"/>
        <family val="2"/>
        <charset val="238"/>
      </rPr>
      <t>13.</t>
    </r>
    <r>
      <rPr>
        <sz val="11"/>
        <rFont val="Calibri"/>
        <family val="2"/>
        <charset val="238"/>
      </rPr>
      <t xml:space="preserve"> Az iparűzési adó alapját főszabályként a saját tevékenységi körben végzett K+F tevékenység közvetlen költsége is csökkenti, a kalkulátor azonban nem számol ezzel.</t>
    </r>
  </si>
  <si>
    <r>
      <rPr>
        <b/>
        <sz val="11"/>
        <rFont val="Calibri"/>
        <family val="2"/>
        <charset val="238"/>
      </rPr>
      <t xml:space="preserve">15. </t>
    </r>
    <r>
      <rPr>
        <sz val="11"/>
        <rFont val="Calibri"/>
        <family val="2"/>
        <charset val="238"/>
      </rPr>
      <t>A tagok osztalékának kiszámítása a kifizetni tervezett osztalék összegéből a főlapon megadott részesedési arány alapján történik. Szociális hozzájárulási adót az osztalékkal összefüggésben akkor kell fizetni, ha a tag összevont adóalapba tartozó jövedelme nem éri el az éves minimálbér kétszeresét. Tekintettel arra, hogy a tag jövedelmét érintően csak a vállalkozásban a személyes közreműködésére tekintettel a részére kifizetett juttatással (8.) összefüggésben áll rendelkezésre információ, a kalkulátor ezt az összeget veti össze a minimálbér alapján meghatározott korláttal. Így a valóságban a tag osztalékot terhelő kötelezettsége alacsonyabb lehet.</t>
    </r>
  </si>
  <si>
    <r>
      <rPr>
        <b/>
        <sz val="11"/>
        <rFont val="Calibri"/>
        <family val="2"/>
        <charset val="238"/>
        <scheme val="minor"/>
      </rPr>
      <t>6.</t>
    </r>
    <r>
      <rPr>
        <sz val="11"/>
        <rFont val="Calibri"/>
        <family val="2"/>
        <charset val="238"/>
        <scheme val="minor"/>
      </rPr>
      <t xml:space="preserve"> Azon hónapok száma, amikor tényleges vállalkozói tevékenységet végez, egyéni vállalkozói tevékenységét nem szünetelteti. 
</t>
    </r>
    <r>
      <rPr>
        <b/>
        <sz val="11"/>
        <rFont val="Calibri"/>
        <family val="2"/>
        <charset val="238"/>
        <scheme val="minor"/>
      </rPr>
      <t>Figyelem! Ha üresen hagyja a cellát, akkor a kalkulátor automatikusan 12 hónappal számol!</t>
    </r>
  </si>
  <si>
    <r>
      <rPr>
        <b/>
        <sz val="11"/>
        <rFont val="Calibri"/>
        <family val="2"/>
        <charset val="238"/>
        <scheme val="minor"/>
      </rPr>
      <t>14</t>
    </r>
    <r>
      <rPr>
        <sz val="11"/>
        <rFont val="Calibri"/>
        <family val="2"/>
        <charset val="238"/>
        <scheme val="minor"/>
      </rPr>
      <t>. Járulékfizetési kötelezettsége, illetve a kisadózók tételes adójának választása esetén adófizetési kötelezettsége csak akkor keletkezik, ha személyesen részt vesz a vállalkozásban. Ide értendő különösen, ha személyesen közreműködik, ha vezető tisztségviselő vagy ha megbízási jogviszony alapján végez tevékenységet.</t>
    </r>
  </si>
  <si>
    <r>
      <rPr>
        <b/>
        <sz val="11"/>
        <rFont val="Calibri"/>
        <family val="2"/>
        <charset val="238"/>
        <scheme val="minor"/>
      </rPr>
      <t>15.</t>
    </r>
    <r>
      <rPr>
        <sz val="11"/>
        <rFont val="Calibri"/>
        <family val="2"/>
        <charset val="238"/>
        <scheme val="minor"/>
      </rPr>
      <t xml:space="preserve"> A tevékenységhez szükséges végzettségi szint határozza meg, hogy mekkora az az összeg, ami után mindenképpen meg kell fizetnie a munkáltatói adókat és a egyéni járulékokat.</t>
    </r>
  </si>
  <si>
    <r>
      <t>Szociális hozzájárulási adó</t>
    </r>
    <r>
      <rPr>
        <b/>
        <vertAlign val="superscript"/>
        <sz val="11"/>
        <color theme="3"/>
        <rFont val="Calibri"/>
        <family val="2"/>
        <charset val="238"/>
        <scheme val="minor"/>
      </rPr>
      <t>13</t>
    </r>
  </si>
  <si>
    <r>
      <t>Személyesen részt vesz a vállalkozás tevékenységében (ide nem értve a munkaviszonyt)?</t>
    </r>
    <r>
      <rPr>
        <vertAlign val="superscript"/>
        <sz val="11"/>
        <rFont val="Calibri"/>
        <family val="2"/>
        <scheme val="minor"/>
      </rPr>
      <t>14</t>
    </r>
    <r>
      <rPr>
        <sz val="11"/>
        <rFont val="Calibri"/>
        <family val="2"/>
        <scheme val="minor"/>
      </rPr>
      <t xml:space="preserve"> </t>
    </r>
  </si>
  <si>
    <r>
      <t>Eszközök értékcsökkenése</t>
    </r>
    <r>
      <rPr>
        <vertAlign val="superscript"/>
        <sz val="11"/>
        <rFont val="Calibri"/>
        <family val="2"/>
        <charset val="238"/>
      </rPr>
      <t>4</t>
    </r>
  </si>
  <si>
    <r>
      <t>Vállalkozói osztalékalap</t>
    </r>
    <r>
      <rPr>
        <vertAlign val="superscript"/>
        <sz val="11"/>
        <rFont val="Calibri"/>
        <family val="2"/>
        <charset val="238"/>
      </rPr>
      <t>9</t>
    </r>
    <r>
      <rPr>
        <sz val="11"/>
        <rFont val="Calibri"/>
        <family val="2"/>
        <charset val="238"/>
      </rPr>
      <t xml:space="preserve"> (41.-43.)</t>
    </r>
  </si>
  <si>
    <r>
      <t>A vállalkozó jövedelmét terhelő közterhek</t>
    </r>
    <r>
      <rPr>
        <b/>
        <vertAlign val="superscript"/>
        <sz val="11"/>
        <rFont val="Calibri"/>
        <family val="2"/>
        <charset val="238"/>
      </rPr>
      <t>7</t>
    </r>
    <r>
      <rPr>
        <b/>
        <sz val="11"/>
        <rFont val="Calibri"/>
        <family val="2"/>
        <charset val="238"/>
      </rPr>
      <t xml:space="preserve">, figyelemmel a családi adókedvezményre </t>
    </r>
    <r>
      <rPr>
        <sz val="11"/>
        <rFont val="Calibri"/>
        <family val="2"/>
        <charset val="238"/>
      </rPr>
      <t>(51.+52.+53.+54.+55.)</t>
    </r>
  </si>
  <si>
    <r>
      <t>Az egyéni vállalkozó jövedelmét terhelő szociális hozzájárulási adó</t>
    </r>
    <r>
      <rPr>
        <sz val="11"/>
        <rFont val="Calibri"/>
        <family val="2"/>
        <charset val="238"/>
      </rPr>
      <t>, figyelemmel a megváltozott munkaképességű vállalkozó kedvezményére 
(a főlapon megadott adatok alapján)</t>
    </r>
  </si>
  <si>
    <r>
      <t xml:space="preserve">6. </t>
    </r>
    <r>
      <rPr>
        <sz val="11"/>
        <rFont val="Calibri"/>
        <family val="2"/>
        <charset val="238"/>
      </rPr>
      <t xml:space="preserve">A kalkulátor nem számol az iparűzési adót érintő, a törvény által (pl. az útdíj 7,5%-ának levonhatósága) illetve önkormányzati hatáskörben (pl. a beruházásokkal összefüggésben, vagy 2,5 M Ft alatti adóalap esetén) biztosított kedvezményekkel, mentességekkel. </t>
    </r>
  </si>
  <si>
    <r>
      <rPr>
        <b/>
        <sz val="11"/>
        <rFont val="Calibri"/>
        <family val="2"/>
        <charset val="238"/>
      </rPr>
      <t xml:space="preserve">7. </t>
    </r>
    <r>
      <rPr>
        <sz val="11"/>
        <rFont val="Calibri"/>
        <family val="2"/>
        <charset val="238"/>
      </rPr>
      <t xml:space="preserve">Ha a kivét összege nem ér el egy meghatározott küszöböt, akkor a kivétet terhelő munkáltatói adók és egyéni járulékok alapja a kivét összegénél magasabb lesz. Ennek szintje adó- és járuléknemenként eltérő, részletesen lásd a NAV információs füzetében: </t>
    </r>
  </si>
  <si>
    <r>
      <rPr>
        <b/>
        <sz val="11"/>
        <rFont val="Calibri"/>
        <family val="2"/>
        <charset val="238"/>
        <scheme val="minor"/>
      </rPr>
      <t>9.</t>
    </r>
    <r>
      <rPr>
        <sz val="11"/>
        <rFont val="Calibri"/>
        <family val="2"/>
        <charset val="238"/>
        <scheme val="minor"/>
      </rPr>
      <t xml:space="preserve"> Szociális hozzájárulási adót az osztalékkal összefüggésben akkor kell fizetni, ha az egyéni vállalkozó összevont adóalapba tartozó jövedelme nem éri el az éves minimálbér kétszeresét. Tekintettel arra, hogy az egyéni vállalkozó jövedelmét érintően csak a vállalkozással összefüggésben áll rendelkezésre információ, a valóságban az osztalékot terhelő kötelezettsége alacsonyabb lehet.</t>
    </r>
  </si>
  <si>
    <r>
      <t>Eszközök értékcsökkenése</t>
    </r>
    <r>
      <rPr>
        <vertAlign val="superscript"/>
        <sz val="11"/>
        <rFont val="Calibri"/>
        <family val="2"/>
        <charset val="238"/>
      </rPr>
      <t>8</t>
    </r>
  </si>
  <si>
    <t>Amennyiben gyakorlati képzést folytat, a bruttó szakképzési hozzájárulás kötelezettséget csökkentő kedvezmény összege</t>
  </si>
  <si>
    <r>
      <t xml:space="preserve">Amennyiben gyakorlati képzést folytat, a bruttó szakképzési hozzájárulás kötelezettséget csökkentő </t>
    </r>
    <r>
      <rPr>
        <sz val="11"/>
        <rFont val="Calibri"/>
        <family val="2"/>
        <charset val="238"/>
      </rPr>
      <t>kedvezmény összege</t>
    </r>
  </si>
  <si>
    <r>
      <t>A tagok részére kifizetett személyi jellegű juttatással (8.) összefüggésben keletkező kisvállalati adóalap</t>
    </r>
    <r>
      <rPr>
        <vertAlign val="superscript"/>
        <sz val="11"/>
        <rFont val="Calibri"/>
        <family val="2"/>
        <charset val="238"/>
      </rPr>
      <t>11</t>
    </r>
  </si>
  <si>
    <r>
      <t>A tagok részére kifizetett személyi jellegű juttatás összegéből fizetendő közterhek</t>
    </r>
    <r>
      <rPr>
        <b/>
        <vertAlign val="superscript"/>
        <sz val="11"/>
        <rFont val="Calibri"/>
        <family val="2"/>
        <charset val="238"/>
      </rPr>
      <t>11</t>
    </r>
    <r>
      <rPr>
        <b/>
        <sz val="11"/>
        <rFont val="Calibri"/>
        <family val="2"/>
        <charset val="238"/>
      </rPr>
      <t xml:space="preserve">, figyelemmel a családi adókedvezményre </t>
    </r>
    <r>
      <rPr>
        <sz val="11"/>
        <rFont val="Calibri"/>
        <family val="2"/>
        <charset val="238"/>
      </rPr>
      <t>(32.+33.+34.+35.+36.+37.)</t>
    </r>
  </si>
  <si>
    <r>
      <t>A tagok részére kifizetett osztalékot terhelő szociális hozzájárulási adó</t>
    </r>
    <r>
      <rPr>
        <vertAlign val="superscript"/>
        <sz val="11"/>
        <rFont val="Calibri"/>
        <family val="2"/>
        <charset val="238"/>
      </rPr>
      <t>15</t>
    </r>
    <r>
      <rPr>
        <b/>
        <vertAlign val="superscript"/>
        <sz val="11"/>
        <rFont val="Calibri"/>
        <family val="2"/>
        <charset val="238"/>
      </rPr>
      <t xml:space="preserve">
</t>
    </r>
    <r>
      <rPr>
        <sz val="11"/>
        <rFont val="Calibri"/>
        <family val="2"/>
        <charset val="238"/>
      </rPr>
      <t>(minden tagra összegezve: 13. értékéből a tagra jutó rész*17,5%, de legfeljebb az éves minimálbér kétszerese és a tag részére kifizetett személyi jellegű juttatás (8.-ból a tag vonatkozásában megadott összeg) különbségének 17,5%-a)</t>
    </r>
  </si>
  <si>
    <t>A helyi iparűzési adó KIVA alanyok számára választható alapja (25.*120%)</t>
  </si>
  <si>
    <r>
      <t>A tagok részére kifizetett személyi jellegű juttatással (8.)  összefüggésben keletkező szociális hozzájárulási adóalap</t>
    </r>
    <r>
      <rPr>
        <vertAlign val="superscript"/>
        <sz val="11"/>
        <rFont val="Calibri"/>
        <family val="2"/>
        <charset val="238"/>
      </rPr>
      <t>11</t>
    </r>
  </si>
  <si>
    <r>
      <t>A tagok részére kifizetett személyi jellegű juttatás összegéből fizetendő közterhek</t>
    </r>
    <r>
      <rPr>
        <b/>
        <vertAlign val="superscript"/>
        <sz val="11"/>
        <rFont val="Calibri"/>
        <family val="2"/>
        <charset val="238"/>
      </rPr>
      <t>11</t>
    </r>
    <r>
      <rPr>
        <b/>
        <sz val="11"/>
        <rFont val="Calibri"/>
        <family val="2"/>
        <charset val="238"/>
      </rPr>
      <t xml:space="preserve">, figyelemmel a családi adókedvezményre </t>
    </r>
    <r>
      <rPr>
        <sz val="11"/>
        <rFont val="Calibri"/>
        <family val="2"/>
        <charset val="238"/>
      </rPr>
      <t>(51.+52.+53.+54.+55.+56.)</t>
    </r>
  </si>
  <si>
    <r>
      <rPr>
        <b/>
        <sz val="11"/>
        <rFont val="Calibri"/>
        <family val="2"/>
        <charset val="238"/>
      </rPr>
      <t>11.</t>
    </r>
    <r>
      <rPr>
        <sz val="11"/>
        <rFont val="Calibri"/>
        <family val="2"/>
        <charset val="238"/>
      </rPr>
      <t xml:space="preserve"> Ha a tag részére, a személyes közreműködésre tekintettel kifizetett személyi jellegű juttatás összege nem ér el egy meghatározott küszöböt, akkor az azt terhelő munkáltatói adók és egyéni járulékok alapja magasabb lesz. Ennek szintje adó- és járuléknemenként eltérő, részletesen lásd a NAV információs füzetében:</t>
    </r>
  </si>
  <si>
    <r>
      <t xml:space="preserve">14. </t>
    </r>
    <r>
      <rPr>
        <sz val="11"/>
        <rFont val="Calibri"/>
        <family val="2"/>
        <charset val="238"/>
      </rPr>
      <t xml:space="preserve">A kalkulátor nem számol az iparűzési adót érintő, a törvény által (pl. az útdíj 7,5%-ának levonhatósága) illetve önkormányzati hatáskörben (pl. a beruházásokkal összefüggésben, vagy 2,5 M Ft alatti adóalap esetén) biztosított kedvezményekkel, mentességekkel. </t>
    </r>
  </si>
  <si>
    <r>
      <t xml:space="preserve">Vállalkozási tevékenysége szempontjából aktív hónapjainak száma
</t>
    </r>
    <r>
      <rPr>
        <b/>
        <sz val="11"/>
        <rFont val="Calibri"/>
        <family val="2"/>
        <scheme val="minor"/>
      </rPr>
      <t>Társas vállalkozó, illetve ki nem töltött cella esetén 12 hónapra korrigálva!</t>
    </r>
  </si>
  <si>
    <r>
      <t>Személyesen részt vesz a vállalkozás tevékenységében (ide nem értve a munkaviszonyt)?</t>
    </r>
    <r>
      <rPr>
        <b/>
        <sz val="11"/>
        <rFont val="Calibri"/>
        <family val="2"/>
        <scheme val="minor"/>
      </rPr>
      <t xml:space="preserve">
Egyéni vállalkozó esetében "igen"-re korrigálva, egyébként kitöltetlen cella esetén "Nem"</t>
    </r>
  </si>
  <si>
    <t>segédcellák/felülírt input cellák</t>
  </si>
  <si>
    <t>Az egyszerűsített adómegállapítás alapján meghatározott iparűzési adóalap (49.*120% és 47.*80% közül a kisebb érték)</t>
  </si>
  <si>
    <r>
      <t xml:space="preserve">Helyi iparűzési adó </t>
    </r>
    <r>
      <rPr>
        <sz val="11"/>
        <rFont val="Calibri"/>
        <family val="2"/>
        <charset val="238"/>
      </rPr>
      <t>(57. és 58. közül a kisebb és 14. szorzata)</t>
    </r>
  </si>
  <si>
    <t>AZ EVA ALTERNATÍVÁIT ÖSSZEHASONLÍTÓ KALKULÁTOR
egyéni vállalkozók és társas vállalkozások részére</t>
  </si>
  <si>
    <r>
      <t>Munkáltatói adó</t>
    </r>
    <r>
      <rPr>
        <b/>
        <vertAlign val="superscript"/>
        <sz val="11"/>
        <color theme="3"/>
        <rFont val="Calibri"/>
        <family val="2"/>
        <charset val="238"/>
        <scheme val="minor"/>
      </rPr>
      <t>16</t>
    </r>
  </si>
  <si>
    <r>
      <rPr>
        <b/>
        <sz val="11"/>
        <rFont val="Calibri"/>
        <family val="2"/>
        <charset val="238"/>
        <scheme val="minor"/>
      </rPr>
      <t>16.</t>
    </r>
    <r>
      <rPr>
        <sz val="11"/>
        <rFont val="Calibri"/>
        <family val="2"/>
        <charset val="238"/>
        <scheme val="minor"/>
      </rPr>
      <t xml:space="preserve"> Munkáltatói adók alatt a szociális hozzájárulási adót és a szakképzési hozzájárulást, illetve az adónem választása esetén a kisvállalati adót (KIVA) kell érteni. A KIVA a társasági adó mellett az előbbieket is kiváltja.</t>
    </r>
  </si>
  <si>
    <t>AZ EGYÉNI VÁLLALKOZÓ, ILLETVE A TÁRSAS VÁLLALKOZÁS TAGJAINAK ADATAI</t>
  </si>
  <si>
    <t>KATA szempontjából főállásúnak/mellékállásúnak minősül</t>
  </si>
  <si>
    <t>MELLÉKÁLLÁSÚ</t>
  </si>
  <si>
    <t>FŐÁLLÁSÚ ESETÉN EMELT ÖSSZEGŰ</t>
  </si>
  <si>
    <r>
      <rPr>
        <b/>
        <sz val="11"/>
        <rFont val="Calibri"/>
        <family val="2"/>
        <charset val="238"/>
      </rPr>
      <t>Kisadózók tételes adója</t>
    </r>
    <r>
      <rPr>
        <sz val="11"/>
        <rFont val="Calibri"/>
        <family val="2"/>
        <charset val="238"/>
      </rPr>
      <t xml:space="preserve"> 
((15.-16.)*50.000 Ft + 16.*75.000 + 17.*25.000 Ft, növelve a bevétel (1.+2.+3.) 12 millió forintot meghaladó részének 40%-ával)</t>
    </r>
    <r>
      <rPr>
        <vertAlign val="superscript"/>
        <sz val="11"/>
        <rFont val="Calibri"/>
        <family val="2"/>
        <charset val="238"/>
      </rPr>
      <t>17</t>
    </r>
  </si>
  <si>
    <r>
      <rPr>
        <b/>
        <sz val="11"/>
        <rFont val="Calibri"/>
        <family val="2"/>
        <charset val="238"/>
      </rPr>
      <t>8.</t>
    </r>
    <r>
      <rPr>
        <sz val="11"/>
        <rFont val="Calibri"/>
        <family val="2"/>
        <charset val="238"/>
      </rPr>
      <t xml:space="preserve"> Mellékállásban végzi vállalkozói tevékenységét, ha van legalább 36 órás munkaviszonya, vagy nevelőszülői foglalkoztatási jogviszonyban áll, vagy nappali tagozatos hallgató, vagy tevékenységét kiegészítő tevékenységként végzi, vagy a szóban forgó vállalkozásától eltérő vállalkozásban társas vállalkozóként vagy egyéni vállalkozóként biztosított.</t>
    </r>
  </si>
  <si>
    <t>A munkavállaló aktív hónapjainak száma (amikor a vállalkozásban kereső tevékenységet folytat)</t>
  </si>
  <si>
    <t xml:space="preserve">Saját jogú nyugdíjas? </t>
  </si>
  <si>
    <t>Munkavállalók után fizetendő szociális hozzájárulási adó a kapcsolódó kedvezmények figyelembevétele nélkül ((5.+6.+7.*1,18)*17,5%)</t>
  </si>
  <si>
    <r>
      <t>Munkavállalók után igénybevehető szociális hozzájárulási adókedvezmények a főlapon megadott adatok</t>
    </r>
    <r>
      <rPr>
        <vertAlign val="superscript"/>
        <sz val="11"/>
        <rFont val="Calibri"/>
        <family val="2"/>
        <charset val="238"/>
      </rPr>
      <t>1</t>
    </r>
    <r>
      <rPr>
        <sz val="11"/>
        <rFont val="Calibri"/>
        <family val="2"/>
        <charset val="238"/>
      </rPr>
      <t xml:space="preserve"> alapján</t>
    </r>
  </si>
  <si>
    <r>
      <t xml:space="preserve">Munkavállalók után fizetendő szociális hozzájárulási adó </t>
    </r>
    <r>
      <rPr>
        <sz val="11"/>
        <rFont val="Calibri"/>
        <family val="2"/>
        <charset val="238"/>
        <scheme val="minor"/>
      </rPr>
      <t>(60.-61.)</t>
    </r>
  </si>
  <si>
    <r>
      <t xml:space="preserve">Szociális hozzájárulási adó és szakképzési hozzájárulás </t>
    </r>
    <r>
      <rPr>
        <sz val="11"/>
        <rFont val="Symbol"/>
        <family val="1"/>
        <charset val="2"/>
      </rPr>
      <t>-</t>
    </r>
    <r>
      <rPr>
        <sz val="11"/>
        <rFont val="Calibri"/>
        <family val="2"/>
        <charset val="238"/>
      </rPr>
      <t xml:space="preserve"> a főlapon megadott adatok</t>
    </r>
    <r>
      <rPr>
        <vertAlign val="superscript"/>
        <sz val="11"/>
        <rFont val="Calibri"/>
        <family val="2"/>
        <charset val="238"/>
      </rPr>
      <t>1</t>
    </r>
    <r>
      <rPr>
        <sz val="11"/>
        <rFont val="Calibri"/>
        <family val="2"/>
        <charset val="238"/>
      </rPr>
      <t xml:space="preserve"> illetve a 21. sorban megadott érték alapján számított kedvezményekre is figyelemmel (5.+40.)*(17,5%+1,5%) + (6.+7.*1,18)*17,5% - (18.+20.)*(17,5%+1,5%) - 19.*50%*17,5% - 21.</t>
    </r>
  </si>
  <si>
    <r>
      <rPr>
        <b/>
        <sz val="11"/>
        <rFont val="Calibri"/>
        <family val="2"/>
        <charset val="238"/>
      </rPr>
      <t>16.</t>
    </r>
    <r>
      <rPr>
        <sz val="11"/>
        <rFont val="Calibri"/>
        <family val="2"/>
        <charset val="238"/>
      </rPr>
      <t xml:space="preserve"> A társasági adóalapból illetve adóból a Tao törvény rendelkezései szerint különböző jogcímeken kedvezmények vehetők igénybe, azonban ezekkel a kalkulátor nem számol. Amennyiben Ön beruházásokat tervez, beruházási hitelt törleszt, vagy K+F tevékenységet folytat, illetve új alkalmazott felvételét tervezi, érdemes megnéznie, hogy ezek révén mennyivel csökkentheti kötelezettségét. E mellett fontos tudnia, hogy a társasági adózás lehetőséget ad a veszteségek elhatárolására is.</t>
    </r>
  </si>
  <si>
    <r>
      <t xml:space="preserve">Figyelem! </t>
    </r>
    <r>
      <rPr>
        <sz val="11"/>
        <color theme="3"/>
        <rFont val="Calibri"/>
        <family val="2"/>
        <charset val="238"/>
        <scheme val="minor"/>
      </rPr>
      <t>Ha egy eldöntendő kérdésre nem ad választ, akkor a kalkulátor azt automatikusan „Nem”-nek veszi.</t>
    </r>
  </si>
  <si>
    <r>
      <rPr>
        <b/>
        <sz val="11"/>
        <color theme="3"/>
        <rFont val="Calibri"/>
        <family val="2"/>
        <charset val="238"/>
        <scheme val="minor"/>
      </rPr>
      <t>Figyelem!</t>
    </r>
    <r>
      <rPr>
        <sz val="11"/>
        <color theme="3"/>
        <rFont val="Calibri"/>
        <family val="2"/>
        <charset val="238"/>
        <scheme val="minor"/>
      </rPr>
      <t xml:space="preserve"> Ha egy eldöntendő kérdésre nem ad választ, akkor a kalkulátor azt automatikusan „Nem”-nek veszi.</t>
    </r>
  </si>
  <si>
    <r>
      <rPr>
        <b/>
        <sz val="11"/>
        <rFont val="Calibri"/>
        <family val="2"/>
        <charset val="238"/>
      </rPr>
      <t xml:space="preserve">Munkavállalók után fizetendő szociális hozzájárulási adó és szakképzési hozzájárulás – </t>
    </r>
    <r>
      <rPr>
        <sz val="11"/>
        <rFont val="Calibri"/>
        <family val="2"/>
        <charset val="238"/>
      </rPr>
      <t>a főlapon megadott adatok</t>
    </r>
    <r>
      <rPr>
        <vertAlign val="superscript"/>
        <sz val="11"/>
        <rFont val="Calibri"/>
        <family val="2"/>
        <charset val="238"/>
      </rPr>
      <t>1</t>
    </r>
    <r>
      <rPr>
        <sz val="11"/>
        <rFont val="Calibri"/>
        <family val="2"/>
        <charset val="238"/>
      </rPr>
      <t xml:space="preserve"> illetve a 21. sorban megadott érték alapján számított kedvezményekre is figyelemmel
[(5.+6.+7.*1,18)*17,5%+5.*1,5%-18.*(17,5%+1,5%)-19.*50%*17,5%-21.]</t>
    </r>
  </si>
  <si>
    <r>
      <rPr>
        <b/>
        <sz val="11"/>
        <rFont val="Calibri"/>
        <family val="2"/>
        <scheme val="minor"/>
      </rPr>
      <t>Amennyiben Ön főállásban végzi tevékenységét</t>
    </r>
    <r>
      <rPr>
        <sz val="11"/>
        <rFont val="Calibri"/>
        <family val="2"/>
        <scheme val="minor"/>
      </rPr>
      <t>, a kisadózók tételes adója (kata) alkalmazása esetén választaná az emelt összegű adó megfizetését?</t>
    </r>
    <r>
      <rPr>
        <vertAlign val="superscript"/>
        <sz val="11"/>
        <rFont val="Calibri"/>
        <family val="2"/>
        <scheme val="minor"/>
      </rPr>
      <t>10</t>
    </r>
  </si>
  <si>
    <r>
      <t>Kisadózó egyéni vállalkozó (kata)</t>
    </r>
    <r>
      <rPr>
        <vertAlign val="superscript"/>
        <sz val="11"/>
        <rFont val="Calibri"/>
        <family val="2"/>
        <scheme val="minor"/>
      </rPr>
      <t>12</t>
    </r>
  </si>
  <si>
    <r>
      <t>Kisvállalati adózás (kiva)</t>
    </r>
    <r>
      <rPr>
        <vertAlign val="superscript"/>
        <sz val="11"/>
        <rFont val="Calibri"/>
        <family val="2"/>
        <scheme val="minor"/>
      </rPr>
      <t>12, 16</t>
    </r>
  </si>
  <si>
    <t>Társasági adózás (tao)</t>
  </si>
  <si>
    <r>
      <t>Kisadózó társas vállalkozás (kata)</t>
    </r>
    <r>
      <rPr>
        <vertAlign val="superscript"/>
        <sz val="11"/>
        <rFont val="Calibri"/>
        <family val="2"/>
        <scheme val="minor"/>
      </rPr>
      <t>12</t>
    </r>
  </si>
  <si>
    <r>
      <t>Szja</t>
    </r>
    <r>
      <rPr>
        <b/>
        <vertAlign val="superscript"/>
        <sz val="11"/>
        <color theme="3"/>
        <rFont val="Calibri"/>
        <family val="2"/>
        <charset val="238"/>
        <scheme val="minor"/>
      </rPr>
      <t>13</t>
    </r>
  </si>
  <si>
    <t>Mindösszesen</t>
  </si>
  <si>
    <r>
      <rPr>
        <b/>
        <sz val="11"/>
        <rFont val="Calibri"/>
        <family val="2"/>
        <charset val="238"/>
        <scheme val="minor"/>
      </rPr>
      <t>7.</t>
    </r>
    <r>
      <rPr>
        <sz val="11"/>
        <rFont val="Calibri"/>
        <family val="2"/>
        <charset val="238"/>
        <scheme val="minor"/>
      </rPr>
      <t xml:space="preserve"> Társas vállalkozó esetén a tag részére, a személyes közreműködésére tekintettel kifizetett juttatás összegét adja meg. A kivét összegének egyéni vállalkozóknál a tételes költségelszámolású szja, társas vállalkozásoknál társasági adózás vagy kisvállalati adózás választása esetén van jelentősége.</t>
    </r>
  </si>
  <si>
    <t>Szja-s egyéni vállalkozó költségelszámolással</t>
  </si>
  <si>
    <r>
      <t>Szja-s, átalányadózást választó egyéni vállalkozó</t>
    </r>
    <r>
      <rPr>
        <vertAlign val="superscript"/>
        <sz val="11"/>
        <rFont val="Calibri"/>
        <family val="2"/>
        <scheme val="minor"/>
      </rPr>
      <t>11</t>
    </r>
  </si>
  <si>
    <t>Adóterhek tételes költségelszámolást választó szja-s egyéni vállalkozóként (24.+32.+35.+38.+45.+46.)</t>
  </si>
  <si>
    <r>
      <t>Adóterhek átalányadózást választó szja-s egyéni vállalkozóként</t>
    </r>
    <r>
      <rPr>
        <b/>
        <vertAlign val="superscript"/>
        <sz val="16"/>
        <color theme="3"/>
        <rFont val="Calibri"/>
        <family val="2"/>
        <charset val="238"/>
        <scheme val="minor"/>
      </rPr>
      <t>10</t>
    </r>
    <r>
      <rPr>
        <b/>
        <sz val="16"/>
        <color theme="3"/>
        <rFont val="Calibri"/>
        <family val="2"/>
        <charset val="238"/>
        <scheme val="minor"/>
      </rPr>
      <t xml:space="preserve"> (50.+56.+59.+62.)</t>
    </r>
  </si>
  <si>
    <r>
      <t>Fizetendő vállalkozói szja (42.*9%)</t>
    </r>
    <r>
      <rPr>
        <vertAlign val="superscript"/>
        <sz val="11"/>
        <rFont val="Calibri"/>
        <family val="2"/>
        <charset val="238"/>
      </rPr>
      <t>8</t>
    </r>
  </si>
  <si>
    <r>
      <t>Vállalkozói osztalékalap után fizetendő szja</t>
    </r>
    <r>
      <rPr>
        <b/>
        <vertAlign val="superscript"/>
        <sz val="11"/>
        <rFont val="Calibri"/>
        <family val="2"/>
        <charset val="238"/>
      </rPr>
      <t>9</t>
    </r>
    <r>
      <rPr>
        <b/>
        <sz val="11"/>
        <rFont val="Calibri"/>
        <family val="2"/>
        <charset val="238"/>
      </rPr>
      <t xml:space="preserve"> </t>
    </r>
    <r>
      <rPr>
        <sz val="11"/>
        <rFont val="Calibri"/>
        <family val="2"/>
        <charset val="238"/>
      </rPr>
      <t>(44.*15%)</t>
    </r>
  </si>
  <si>
    <r>
      <t xml:space="preserve">Átalányadózás esetén a tevékenységhez tartozó átalányköltség
</t>
    </r>
    <r>
      <rPr>
        <sz val="10"/>
        <color theme="1"/>
        <rFont val="Calibri"/>
        <family val="2"/>
        <charset val="238"/>
        <scheme val="minor"/>
      </rPr>
      <t>Az átalányadózás esetén alkalmazható költségátalány az Ön tevékenységétől, illetve az értékesített termékek és szolgáltatások körétől függ. A szolgáltatási ágazatokban jellemzően az általános, 40 százalékos kulcsot tudja alkalmazni, de más tevékenységeknél ennél magasabb is lehet. Nézze meg az Szja törvény 53. §-át az Önre vonatkozó kulcsokért! Amennyiben több tevékenységet is végez, a legalacsonyabb átalányköltséget jelentő tevékenységet kell választania.</t>
    </r>
  </si>
  <si>
    <r>
      <rPr>
        <b/>
        <sz val="11"/>
        <rFont val="Calibri"/>
        <family val="2"/>
        <charset val="238"/>
      </rPr>
      <t>8.</t>
    </r>
    <r>
      <rPr>
        <sz val="11"/>
        <rFont val="Calibri"/>
        <family val="2"/>
        <charset val="238"/>
      </rPr>
      <t xml:space="preserve"> A vállalkozói adóalapból illetve adóból az Szja törvény rendelkezései szerint különböző jogcímeken kedvezmények vehetők igénybe, azonban ezekkel a kalkulátor nem számol. Amennyiben Ön beruházásokat tervez, beruházási hitelt törleszt, vagy K+F tevékenységet folytat, illetve új alkalmazott felvételét tervezi, érdemes megnéznie, hogy ezek révén mennyivel csökkentheti kötelezettségét. E mellett fontos tudnia, hogy a költségelszámolásos szja lehetőséget ad a veszteségek elhatárolására is.</t>
    </r>
  </si>
  <si>
    <t>Társasági- Kisvállalati- és Kisadózói adózást összehasonlító kalkulátor az eva alanyainak részére</t>
  </si>
  <si>
    <t>Értékesítés nettó árbevétele (alanyi áfamentesség esetén az értékesítés bevétele)</t>
  </si>
  <si>
    <r>
      <t xml:space="preserve">Adóterhek a társasági adó (tao) hatálya alatt </t>
    </r>
    <r>
      <rPr>
        <sz val="11"/>
        <color theme="3"/>
        <rFont val="Calibri"/>
        <family val="2"/>
        <charset val="238"/>
      </rPr>
      <t>(41.+44.+49.+50.+57.+58.)</t>
    </r>
  </si>
  <si>
    <r>
      <rPr>
        <b/>
        <sz val="11"/>
        <rFont val="Calibri"/>
        <family val="2"/>
        <charset val="238"/>
        <scheme val="minor"/>
      </rPr>
      <t xml:space="preserve">10. </t>
    </r>
    <r>
      <rPr>
        <sz val="11"/>
        <rFont val="Calibri"/>
        <family val="2"/>
        <charset val="238"/>
        <scheme val="minor"/>
      </rPr>
      <t xml:space="preserve">Mit jelent a magasabb összegű kata? </t>
    </r>
  </si>
  <si>
    <r>
      <rPr>
        <b/>
        <sz val="11"/>
        <rFont val="Calibri"/>
        <family val="2"/>
        <charset val="238"/>
        <scheme val="minor"/>
      </rPr>
      <t xml:space="preserve">12. </t>
    </r>
    <r>
      <rPr>
        <sz val="11"/>
        <rFont val="Calibri"/>
        <family val="2"/>
        <charset val="238"/>
        <scheme val="minor"/>
      </rPr>
      <t>A kata adónem esetén a 12 millió forintot meghaladó bevételt terhelő 40%-os adóterhet a vállalkozás nyereségadójaként tüntettük fel, míg a havonta fizetendő tételes adók összegét a magánszemélyek adói között szerepeltettük. A kiva megfizetésével a nyereségadót és munkáltatói adót együttesen teljesíti.</t>
    </r>
  </si>
  <si>
    <t>Kisadózók tételes adója (kata) alkalmazása esetén a havi tételes adó összege 
(mellékállásban 25 ezer Ft, főállásban – saját döntése alapján – 50 ezer Ft vagy 75 ezer Ft)</t>
  </si>
  <si>
    <r>
      <t>A helyi iparűzési adó kata alanyok számára választható alapja (2,5 millió forint aktív hónapokra jutó időarányos része: 2,5M/12*1.)</t>
    </r>
    <r>
      <rPr>
        <vertAlign val="superscript"/>
        <sz val="11"/>
        <rFont val="Calibri"/>
        <family val="2"/>
        <charset val="238"/>
      </rPr>
      <t>3</t>
    </r>
  </si>
  <si>
    <r>
      <t>Az előző sorból azok száma, akik a kisadózók tételes adójának alkalmazása esetén (kata) az emelt összegű adó megfizetését választanák</t>
    </r>
    <r>
      <rPr>
        <vertAlign val="superscript"/>
        <sz val="11"/>
        <rFont val="Calibri"/>
        <family val="2"/>
        <charset val="238"/>
      </rPr>
      <t>10</t>
    </r>
  </si>
  <si>
    <r>
      <t>Adóterhek a kisadózók tételes adója (kata) hatálya alatt</t>
    </r>
    <r>
      <rPr>
        <sz val="16"/>
        <color theme="3"/>
        <rFont val="Calibri"/>
        <family val="2"/>
        <charset val="238"/>
      </rPr>
      <t xml:space="preserve"> </t>
    </r>
    <r>
      <rPr>
        <sz val="11"/>
        <color theme="3"/>
        <rFont val="Calibri"/>
        <family val="2"/>
        <charset val="238"/>
      </rPr>
      <t>(59.+63.+64.)</t>
    </r>
  </si>
  <si>
    <r>
      <t>A helyi iparűzési adó kata alanyok számára választható alapja (2,5 millió forint)</t>
    </r>
    <r>
      <rPr>
        <vertAlign val="superscript"/>
        <sz val="11"/>
        <rFont val="Calibri"/>
        <family val="2"/>
        <charset val="238"/>
      </rPr>
      <t>6</t>
    </r>
  </si>
  <si>
    <r>
      <rPr>
        <b/>
        <sz val="11"/>
        <rFont val="Calibri"/>
        <family val="2"/>
        <charset val="238"/>
      </rPr>
      <t>7.</t>
    </r>
    <r>
      <rPr>
        <sz val="11"/>
        <rFont val="Calibri"/>
        <family val="2"/>
        <charset val="238"/>
      </rPr>
      <t xml:space="preserve"> Amennyiben a jövőben a társasági adózásra tér át, az első társasági adóévében adóalap-módosító tételei merülhetnek fel, amelyek pontos szabályait az Eva tv. 19. § (9) bekezdésében találja. A kata adónemre történő átlépéskor osztalék utáni adót kiváltó adó fizetésére lehet kötelezett a  vállalkozásában az evás időszakot megelőzően képződött eredményével összefüggésben. Ennek pontos szabályait a a kisadózó vállalkozások tételes adójáról és a kisvállalati adóról 2012. évi CXLVII. törvény 26. §-ában találja.</t>
    </r>
  </si>
  <si>
    <r>
      <rPr>
        <b/>
        <sz val="11"/>
        <rFont val="Calibri"/>
        <family val="2"/>
        <charset val="238"/>
      </rPr>
      <t xml:space="preserve">17. </t>
    </r>
    <r>
      <rPr>
        <sz val="11"/>
        <rFont val="Calibri"/>
        <family val="2"/>
        <charset val="238"/>
      </rPr>
      <t>A havi tételes kata meghatározása során a kalkulátor azzal a feltételezéssel él, hogy a vállalkozásban közreműködő kisadózók (tagok) a teljes adóévben járulékfizetésre kötelezettek. Kivételt képezhet ez alól a kisadózó, ha például GYED-en van, vagy táppénzben részesül. A pontos szabályozást a kisadózó vállalkozások tételes adójáról és a kisvállalati adóról szóló 2012. évi CXLVII. törvény 8. §-ának (9) bekezdése tartalmazza.</t>
    </r>
  </si>
  <si>
    <r>
      <t>Adóterhek a kisadózók tételes adója (kata) hatálya alatt</t>
    </r>
    <r>
      <rPr>
        <sz val="16"/>
        <color theme="3"/>
        <rFont val="Calibri"/>
        <family val="2"/>
        <charset val="238"/>
      </rPr>
      <t xml:space="preserve"> </t>
    </r>
    <r>
      <rPr>
        <sz val="11"/>
        <color theme="3"/>
        <rFont val="Calibri"/>
        <family val="2"/>
        <charset val="238"/>
      </rPr>
      <t>(16.+20.+23.)</t>
    </r>
  </si>
  <si>
    <r>
      <t>Az egyéni vállalkozói kivét után fizetendő közterhek</t>
    </r>
    <r>
      <rPr>
        <b/>
        <vertAlign val="superscript"/>
        <sz val="11"/>
        <rFont val="Calibri"/>
        <family val="2"/>
        <charset val="238"/>
      </rPr>
      <t>7</t>
    </r>
    <r>
      <rPr>
        <sz val="11"/>
        <rFont val="Calibri"/>
        <family val="2"/>
        <charset val="238"/>
      </rPr>
      <t>, figyelemmel a családi adókedvezményre (25.+26.+27.+28.+29.+30.)</t>
    </r>
  </si>
  <si>
    <t>Egyéni vállalkozói adózási módokat összehasonlító kalkulátor az eva alanyainak részére</t>
  </si>
  <si>
    <t>Saját jogú nyugdíjas? / Özvegyi nyugdíjban részesül, aki betöltötte az öregségi nyugdíjkorhatárt ? (Tevékenységét kiegészítő tevékenységűként folytatja?)</t>
  </si>
  <si>
    <t>- Kata: 50 000 Ft tételes adó, 98 100 Ft ellátási alap (az a jövedelem, amely az adott hónapban figyelembe vehető a Tb-ellátások – például táppénz, CSED, GYED, nyugdíj –, valamint az álláskeresési járadék számításakor), 365 nap nyugdíjjogosultsághoz szükséges szolgálati idő; 236 nap nyugdíj összegének megállapításakor figyelembe vehető  szolgálati idő egy év alatt
- Magasabb összegű kata: 75 000 Ft tételes adó, 164 400 Ft ellátási alapja, 365 nap nyugdíjjogosultsághoz szükséges szolgálati idő; 365 nap nyugdíj összegének megállapításakor figyelembe vehető  szolgálati idő egy év alatt
A hosszabb szolgálati idő is magasabb összegű nyugdíjat jelent.  A GYIK 7-es kérdése alatt részletesebb információt és tanácsot is kaphat az adómérték megválasztásához.</t>
  </si>
  <si>
    <t>`</t>
  </si>
  <si>
    <r>
      <t xml:space="preserve">A </t>
    </r>
    <r>
      <rPr>
        <b/>
        <sz val="11"/>
        <color theme="3"/>
        <rFont val="Calibri"/>
        <family val="2"/>
        <charset val="238"/>
        <scheme val="minor"/>
      </rPr>
      <t>kalkulátor célja</t>
    </r>
    <r>
      <rPr>
        <sz val="11"/>
        <color theme="3"/>
        <rFont val="Calibri"/>
        <family val="2"/>
        <charset val="238"/>
        <scheme val="minor"/>
      </rPr>
      <t xml:space="preserve">, hogy az egyes nyereségadózási módok mellett a vállalkozó (tag) személyes jövedelmével, a foglalkoztatással és az iparűzési adóval összefüggő közterhekre is vonatkozó </t>
    </r>
    <r>
      <rPr>
        <b/>
        <sz val="11"/>
        <color theme="3"/>
        <rFont val="Calibri"/>
        <family val="2"/>
        <charset val="238"/>
        <scheme val="minor"/>
      </rPr>
      <t>hosszú távú tervezést segítse</t>
    </r>
    <r>
      <rPr>
        <sz val="11"/>
        <color theme="3"/>
        <rFont val="Calibri"/>
        <family val="2"/>
        <charset val="238"/>
        <scheme val="minor"/>
      </rPr>
      <t xml:space="preserve">, azaz egy jövőbeni, tetszőleges adóév kötelezettségeit veti össze. Ennek megfelelően </t>
    </r>
    <r>
      <rPr>
        <b/>
        <sz val="11"/>
        <color theme="3"/>
        <rFont val="Calibri"/>
        <family val="2"/>
        <charset val="238"/>
        <scheme val="minor"/>
      </rPr>
      <t>nem számol az egyes adónemekben esetlegesen felmerülő, váltáshoz kapcsolódó egyszeri adóalap-módosító tételekkel</t>
    </r>
    <r>
      <rPr>
        <sz val="11"/>
        <color theme="3"/>
        <rFont val="Calibri"/>
        <family val="2"/>
        <charset val="238"/>
        <scheme val="minor"/>
      </rPr>
      <t xml:space="preserve">.  A kalkulátor </t>
    </r>
    <r>
      <rPr>
        <b/>
        <sz val="11"/>
        <color theme="3"/>
        <rFont val="Calibri"/>
        <family val="2"/>
        <charset val="238"/>
        <scheme val="minor"/>
      </rPr>
      <t xml:space="preserve">nem számol a vállalkozás áfakötelezettségével </t>
    </r>
    <r>
      <rPr>
        <sz val="11"/>
        <color theme="3"/>
        <rFont val="Calibri"/>
        <family val="2"/>
        <charset val="238"/>
        <scheme val="minor"/>
      </rPr>
      <t xml:space="preserve">sem. Amennyiben nem választ(hat)ja az áfa alanyi mentességet, e kötelezettségét is számba kell vennie.
</t>
    </r>
    <r>
      <rPr>
        <b/>
        <sz val="11"/>
        <color theme="3"/>
        <rFont val="Calibri"/>
        <family val="2"/>
        <charset val="238"/>
        <scheme val="minor"/>
      </rPr>
      <t>Az adatok tájékoztató jellegűek.</t>
    </r>
    <r>
      <rPr>
        <sz val="11"/>
        <color theme="3"/>
        <rFont val="Calibri"/>
        <family val="2"/>
        <charset val="238"/>
        <scheme val="minor"/>
      </rPr>
      <t xml:space="preserve"> A kalkulátor egyszerűsítő feltételezésekkel él, a tényleges adókötelezettség a számítottól eltérő lehet. Nagyobb </t>
    </r>
    <r>
      <rPr>
        <b/>
        <sz val="11"/>
        <color theme="3"/>
        <rFont val="Calibri"/>
        <family val="2"/>
        <charset val="238"/>
        <scheme val="minor"/>
      </rPr>
      <t>eltéréseket okozhat, hogy a kalkulátor:</t>
    </r>
    <r>
      <rPr>
        <sz val="11"/>
        <color theme="3"/>
        <rFont val="Calibri"/>
        <family val="2"/>
        <charset val="238"/>
        <scheme val="minor"/>
      </rPr>
      <t xml:space="preserve">
- az Ön által megadott adatok alapján figyelembe veszi a családi adókedvezményt és a munkáltatói adókból</t>
    </r>
    <r>
      <rPr>
        <vertAlign val="superscript"/>
        <sz val="11"/>
        <color theme="3"/>
        <rFont val="Calibri"/>
        <family val="2"/>
        <charset val="238"/>
        <scheme val="minor"/>
      </rPr>
      <t>16</t>
    </r>
    <r>
      <rPr>
        <sz val="11"/>
        <color theme="3"/>
        <rFont val="Calibri"/>
        <family val="2"/>
        <charset val="238"/>
        <scheme val="minor"/>
      </rPr>
      <t xml:space="preserve"> főszabály szerint igénybevehető kedvezményeket, de nem számol más szja-kedvezménnyel, illetve a 2019. óta már csak átmeneti rendelkezések révén alkalmazható, kifutó munkáltatói kedvezményekkel</t>
    </r>
    <r>
      <rPr>
        <vertAlign val="superscript"/>
        <sz val="11"/>
        <color theme="3"/>
        <rFont val="Calibri"/>
        <family val="2"/>
        <charset val="238"/>
        <scheme val="minor"/>
      </rPr>
      <t>1</t>
    </r>
    <r>
      <rPr>
        <sz val="11"/>
        <color theme="3"/>
        <rFont val="Calibri"/>
        <family val="2"/>
        <charset val="238"/>
        <scheme val="minor"/>
      </rPr>
      <t xml:space="preserve"> sem;
- nem számol az iparűzési adóban és az egyes nyereségadózási formák mellett elérhető adó- és adóalap-kedvezményekkel</t>
    </r>
    <r>
      <rPr>
        <vertAlign val="superscript"/>
        <sz val="11"/>
        <color theme="3"/>
        <rFont val="Calibri"/>
        <family val="2"/>
        <charset val="238"/>
        <scheme val="minor"/>
      </rPr>
      <t>2</t>
    </r>
    <r>
      <rPr>
        <sz val="11"/>
        <color theme="3"/>
        <rFont val="Calibri"/>
        <family val="2"/>
        <charset val="238"/>
        <scheme val="minor"/>
      </rPr>
      <t>; 
- nem veszi figyelembe a vállalkozás alapvető működéséhez nem kapcsolódó, különös eredménytételeket (pl. nem a vállalkozás érdekében felmerült ráfordítás, bírság, pótlék, elengedett követelés);
- feltételezi, hogy a vállalkozás székhelye és telephelye(i) ugyanazon a településen van(nak), aminek az iparűzési  adó számításánál van jelentősége</t>
    </r>
    <r>
      <rPr>
        <vertAlign val="superscript"/>
        <sz val="11"/>
        <color theme="3"/>
        <rFont val="Calibri"/>
        <family val="2"/>
        <charset val="238"/>
        <scheme val="minor"/>
      </rPr>
      <t>3</t>
    </r>
    <r>
      <rPr>
        <sz val="11"/>
        <color theme="3"/>
        <rFont val="Calibri"/>
        <family val="2"/>
        <charset val="238"/>
        <scheme val="minor"/>
      </rPr>
      <t xml:space="preserve">
- nem veszi figyelembe, hogy a különböző Tb-ellátások folyósítása alatt mentesül(het) bizonyos járulékfizetési kötelezettségek alól
Az egyszerűsítések részletesebb kifejtését megtalálja a vállalkozási formájának (egyéni, vagy társas vállalkozás) megfelelő a munkafüzetlapon. Ha az alábbiak mellett további adatokat is figyelembe szeretne venni a kalkuláció során, töltse fel a vonatkozó mezőket a vállalkozási formájának megfelelő munkafüzetlapon!
</t>
    </r>
    <r>
      <rPr>
        <b/>
        <sz val="11"/>
        <color theme="3"/>
        <rFont val="Calibri"/>
        <family val="2"/>
        <charset val="238"/>
        <scheme val="minor"/>
      </rPr>
      <t xml:space="preserve">Figyelem! </t>
    </r>
    <r>
      <rPr>
        <sz val="11"/>
        <color theme="3"/>
        <rFont val="Calibri"/>
        <family val="2"/>
        <charset val="238"/>
        <scheme val="minor"/>
      </rPr>
      <t xml:space="preserve">Az eredmények értelmezése során legyen tekintettel rá, hogy </t>
    </r>
    <r>
      <rPr>
        <b/>
        <sz val="11"/>
        <color theme="3"/>
        <rFont val="Calibri"/>
        <family val="2"/>
        <charset val="238"/>
        <scheme val="minor"/>
      </rPr>
      <t>korlátolt felelősségű társaságként nem választhatja a katát</t>
    </r>
    <r>
      <rPr>
        <sz val="11"/>
        <color theme="3"/>
        <rFont val="Calibri"/>
        <family val="2"/>
        <charset val="238"/>
        <scheme val="minor"/>
      </rPr>
      <t>.</t>
    </r>
  </si>
  <si>
    <r>
      <rPr>
        <b/>
        <sz val="11"/>
        <rFont val="Calibri"/>
        <family val="2"/>
        <charset val="238"/>
        <scheme val="minor"/>
      </rPr>
      <t xml:space="preserve">4. </t>
    </r>
    <r>
      <rPr>
        <sz val="11"/>
        <rFont val="Calibri"/>
        <family val="2"/>
        <charset val="238"/>
        <scheme val="minor"/>
      </rPr>
      <t xml:space="preserve">Társasági adózóként vagy szjas egyéni vállalkozóként az eva adóalanyiság időszaka alatt megszerzett eszközei vonatkozásában az értékcsökkenési leírást a más által kibocsátott bizonylaton feltüntetett értékre, mint beruházási költségre vetítve kell megállapítania. </t>
    </r>
  </si>
  <si>
    <r>
      <rPr>
        <b/>
        <sz val="11"/>
        <rFont val="Calibri"/>
        <family val="2"/>
        <charset val="238"/>
        <scheme val="minor"/>
      </rPr>
      <t xml:space="preserve">13. </t>
    </r>
    <r>
      <rPr>
        <sz val="11"/>
        <rFont val="Calibri"/>
        <family val="2"/>
        <charset val="238"/>
        <scheme val="minor"/>
      </rPr>
      <t>Az szja- és szociális hozzájárulási adó kötelezettségek tartalmazzák az osztalék (egyéni vállalkozók esetén a vállalkozói osztalékalap) után fizetendő közterheket is. A tételes költségelszámolást alkalmazó egyéni vállalkozók esetén a vállalkozói osztalékalap a pozitív vállalkozói eredmény csökkentve az azt terhelő 9%-os vállalkozói szja-val.
Társas vállalkozások esetén a tagok osztalékának kiszámítása a kifizetni tervezett osztalék összegéből a főlapon megadott részesedési arány alapján történik. 
Szociális hozzájárulási adót az osztalékkal összefüggésben akkor kell fizetni, ha az egyéni vállalkozónak vagy a társas vállalkozás tagjának összevont adóalapba tartozó jövedelme nem éri el az éves minimálbér kétszeresét. Tekintettel arra, hogy az egyéni vállalkozó illetve tag jövedelmét érintően csak a vállalkozással összefüggésben áll rendelkezésre információ, a valóságban az osztalékot terhelő kötelezettsége alacsonyabb lehet.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</si>
</sst>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Ft&quot;_-;\-* #,##0.00\ &quot;Ft&quot;_-;_-* &quot;-&quot;??\ &quot;Ft&quot;_-;_-@_-"/>
    <numFmt numFmtId="43" formatCode="_-* #,##0.00\ _F_t_-;\-* #,##0.00\ _F_t_-;_-* &quot;-&quot;??\ _F_t_-;_-@_-"/>
    <numFmt numFmtId="164" formatCode="#,##0\ &quot;Ft&quot;"/>
    <numFmt numFmtId="165" formatCode="_-* #,##0\ &quot;Ft&quot;_-;\-* #,##0\ &quot;Ft&quot;_-;_-* &quot;-&quot;??\ &quot;Ft&quot;_-;_-@_-"/>
    <numFmt numFmtId="166" formatCode="0&quot; fő&quot;"/>
    <numFmt numFmtId="167" formatCode="0.0%"/>
    <numFmt numFmtId="168" formatCode="_-* #,##0\ _F_t_-;\-* #,##0\ _F_t_-;_-* &quot;-&quot;??\ _F_t_-;_-@_-"/>
    <numFmt numFmtId="169" formatCode="_-* #,##0\ [$Ft-40E]_-;\-* #,##0\ [$Ft-40E]_-;_-* &quot;-&quot;??\ [$Ft-40E]_-;_-@_-"/>
  </numFmts>
  <fonts count="4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name val="Calibri"/>
      <family val="2"/>
      <charset val="238"/>
    </font>
    <font>
      <b/>
      <sz val="14"/>
      <color theme="3"/>
      <name val="Calibri"/>
      <family val="2"/>
      <charset val="238"/>
    </font>
    <font>
      <b/>
      <sz val="11"/>
      <name val="Calibri"/>
      <family val="2"/>
      <charset val="238"/>
    </font>
    <font>
      <sz val="11"/>
      <color theme="1"/>
      <name val="Calibri"/>
      <family val="2"/>
      <scheme val="minor"/>
    </font>
    <font>
      <b/>
      <sz val="11"/>
      <color theme="3"/>
      <name val="Calibri"/>
      <family val="2"/>
      <charset val="238"/>
      <scheme val="minor"/>
    </font>
    <font>
      <sz val="11"/>
      <color rgb="FFFF0000"/>
      <name val="Calibri"/>
      <family val="2"/>
      <charset val="238"/>
      <scheme val="minor"/>
    </font>
    <font>
      <b/>
      <sz val="16"/>
      <color theme="3"/>
      <name val="Calibri"/>
      <family val="2"/>
      <charset val="238"/>
    </font>
    <font>
      <sz val="14"/>
      <color theme="3"/>
      <name val="Calibri"/>
      <family val="2"/>
      <charset val="238"/>
    </font>
    <font>
      <sz val="11"/>
      <color theme="3"/>
      <name val="Calibri"/>
      <family val="2"/>
      <charset val="238"/>
      <scheme val="minor"/>
    </font>
    <font>
      <sz val="11"/>
      <color rgb="FFFF0000"/>
      <name val="Calibri"/>
      <family val="2"/>
      <scheme val="minor"/>
    </font>
    <font>
      <sz val="12"/>
      <name val="Calibri"/>
      <family val="2"/>
      <charset val="238"/>
    </font>
    <font>
      <vertAlign val="superscript"/>
      <sz val="11"/>
      <name val="Calibri"/>
      <family val="2"/>
      <charset val="238"/>
    </font>
    <font>
      <b/>
      <sz val="16"/>
      <name val="Calibri"/>
      <family val="2"/>
      <charset val="238"/>
    </font>
    <font>
      <sz val="9"/>
      <name val="Calibri"/>
      <family val="2"/>
      <charset val="238"/>
    </font>
    <font>
      <sz val="11"/>
      <name val="Symbol"/>
      <family val="1"/>
      <charset val="2"/>
    </font>
    <font>
      <sz val="16"/>
      <color theme="3"/>
      <name val="Calibri"/>
      <family val="2"/>
      <charset val="238"/>
    </font>
    <font>
      <sz val="11"/>
      <color theme="3"/>
      <name val="Calibri"/>
      <family val="2"/>
      <charset val="238"/>
    </font>
    <font>
      <sz val="11"/>
      <color rgb="FFFF0000"/>
      <name val="Calibri"/>
      <family val="2"/>
      <charset val="238"/>
    </font>
    <font>
      <b/>
      <sz val="16"/>
      <color rgb="FF1F497D"/>
      <name val="Calibri"/>
      <family val="2"/>
      <charset val="238"/>
      <scheme val="minor"/>
    </font>
    <font>
      <sz val="10"/>
      <color theme="1"/>
      <name val="Calibri"/>
      <family val="2"/>
      <charset val="238"/>
      <scheme val="minor"/>
    </font>
    <font>
      <b/>
      <sz val="11"/>
      <color theme="1"/>
      <name val="Calibri"/>
      <family val="2"/>
      <charset val="238"/>
      <scheme val="minor"/>
    </font>
    <font>
      <b/>
      <sz val="14"/>
      <color theme="1"/>
      <name val="Calibri"/>
      <family val="2"/>
      <charset val="238"/>
      <scheme val="minor"/>
    </font>
    <font>
      <sz val="11"/>
      <name val="Calibri"/>
      <family val="2"/>
      <scheme val="minor"/>
    </font>
    <font>
      <sz val="11"/>
      <name val="Calibri"/>
      <family val="2"/>
    </font>
    <font>
      <sz val="11"/>
      <name val="Calibri"/>
      <family val="2"/>
      <charset val="238"/>
      <scheme val="minor"/>
    </font>
    <font>
      <b/>
      <sz val="11"/>
      <name val="Calibri"/>
      <family val="2"/>
      <charset val="238"/>
      <scheme val="minor"/>
    </font>
    <font>
      <b/>
      <sz val="11"/>
      <name val="Calibri"/>
      <family val="2"/>
      <scheme val="minor"/>
    </font>
    <font>
      <vertAlign val="superscript"/>
      <sz val="11"/>
      <color theme="1"/>
      <name val="Calibri"/>
      <family val="2"/>
      <charset val="238"/>
      <scheme val="minor"/>
    </font>
    <font>
      <b/>
      <sz val="14"/>
      <color theme="0"/>
      <name val="Calibri"/>
      <family val="2"/>
      <charset val="238"/>
      <scheme val="minor"/>
    </font>
    <font>
      <sz val="11"/>
      <color rgb="FF00B050"/>
      <name val="Calibri"/>
      <family val="2"/>
      <scheme val="minor"/>
    </font>
    <font>
      <sz val="11"/>
      <color rgb="FF00B050"/>
      <name val="Calibri"/>
      <family val="2"/>
      <charset val="238"/>
      <scheme val="minor"/>
    </font>
    <font>
      <u/>
      <sz val="11"/>
      <color theme="10"/>
      <name val="Calibri"/>
      <family val="2"/>
      <scheme val="minor"/>
    </font>
    <font>
      <sz val="11"/>
      <color theme="1"/>
      <name val="Calibri"/>
      <family val="2"/>
      <charset val="238"/>
      <scheme val="minor"/>
    </font>
    <font>
      <b/>
      <sz val="14"/>
      <color theme="3"/>
      <name val="Calibri"/>
      <family val="2"/>
      <charset val="238"/>
      <scheme val="minor"/>
    </font>
    <font>
      <vertAlign val="superscript"/>
      <sz val="11"/>
      <name val="Calibri"/>
      <family val="2"/>
      <scheme val="minor"/>
    </font>
    <font>
      <b/>
      <vertAlign val="superscript"/>
      <sz val="11"/>
      <color theme="3"/>
      <name val="Calibri"/>
      <family val="2"/>
      <charset val="238"/>
      <scheme val="minor"/>
    </font>
    <font>
      <b/>
      <vertAlign val="superscript"/>
      <sz val="11"/>
      <name val="Calibri"/>
      <family val="2"/>
      <charset val="238"/>
    </font>
    <font>
      <b/>
      <sz val="16"/>
      <color theme="3"/>
      <name val="Calibri"/>
      <family val="2"/>
      <charset val="238"/>
      <scheme val="minor"/>
    </font>
    <font>
      <b/>
      <vertAlign val="superscript"/>
      <sz val="16"/>
      <color theme="3"/>
      <name val="Calibri"/>
      <family val="2"/>
      <charset val="238"/>
      <scheme val="minor"/>
    </font>
    <font>
      <vertAlign val="superscript"/>
      <sz val="11"/>
      <color theme="3"/>
      <name val="Calibri"/>
      <family val="2"/>
      <charset val="238"/>
      <scheme val="minor"/>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bgColor theme="0" tint="-0.14999847407452621"/>
      </patternFill>
    </fill>
    <fill>
      <patternFill patternType="solid">
        <fgColor rgb="FFF7E8BF"/>
        <bgColor indexed="64"/>
      </patternFill>
    </fill>
    <fill>
      <patternFill patternType="solid">
        <fgColor theme="4" tint="0.79998168889431442"/>
        <bgColor theme="0" tint="-0.14999847407452621"/>
      </patternFill>
    </fill>
    <fill>
      <patternFill patternType="solid">
        <fgColor rgb="FFF7E8BF"/>
        <bgColor theme="0" tint="-0.14999847407452621"/>
      </patternFill>
    </fill>
    <fill>
      <patternFill patternType="solid">
        <fgColor rgb="FFF7E8BF"/>
        <bgColor rgb="FF000000"/>
      </patternFill>
    </fill>
    <fill>
      <patternFill patternType="solid">
        <fgColor theme="6" tint="0.59999389629810485"/>
        <bgColor indexed="64"/>
      </patternFill>
    </fill>
    <fill>
      <patternFill patternType="solid">
        <fgColor theme="3"/>
        <bgColor indexed="64"/>
      </patternFill>
    </fill>
    <fill>
      <patternFill patternType="solid">
        <fgColor theme="6" tint="0.59999389629810485"/>
        <bgColor theme="0" tint="-0.14999847407452621"/>
      </patternFill>
    </fill>
    <fill>
      <patternFill patternType="solid">
        <fgColor theme="0" tint="-0.249977111117893"/>
        <bgColor indexed="64"/>
      </patternFill>
    </fill>
    <fill>
      <patternFill patternType="solid">
        <fgColor theme="0" tint="-0.249977111117893"/>
        <bgColor theme="0" tint="-0.14999847407452621"/>
      </patternFill>
    </fill>
    <fill>
      <patternFill patternType="solid">
        <fgColor theme="6" tint="0.39997558519241921"/>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3"/>
      </left>
      <right style="thin">
        <color theme="3"/>
      </right>
      <top style="thin">
        <color theme="3"/>
      </top>
      <bottom style="thin">
        <color theme="3"/>
      </bottom>
      <diagonal/>
    </border>
    <border>
      <left/>
      <right style="thin">
        <color theme="3"/>
      </right>
      <top style="thin">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style="thin">
        <color theme="3"/>
      </bottom>
      <diagonal/>
    </border>
    <border>
      <left style="medium">
        <color theme="3"/>
      </left>
      <right/>
      <top style="thin">
        <color theme="3"/>
      </top>
      <bottom style="thin">
        <color theme="3"/>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style="medium">
        <color theme="3"/>
      </left>
      <right style="medium">
        <color theme="3"/>
      </right>
      <top/>
      <bottom style="medium">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medium">
        <color theme="3"/>
      </right>
      <top/>
      <bottom style="thin">
        <color theme="3"/>
      </bottom>
      <diagonal/>
    </border>
    <border>
      <left style="medium">
        <color theme="3"/>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style="medium">
        <color theme="3"/>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style="medium">
        <color theme="3"/>
      </left>
      <right/>
      <top/>
      <bottom style="thin">
        <color theme="3"/>
      </bottom>
      <diagonal/>
    </border>
    <border>
      <left style="medium">
        <color theme="3"/>
      </left>
      <right style="thin">
        <color theme="3"/>
      </right>
      <top/>
      <bottom/>
      <diagonal/>
    </border>
    <border>
      <left style="medium">
        <color theme="3"/>
      </left>
      <right/>
      <top style="thin">
        <color theme="3"/>
      </top>
      <bottom style="medium">
        <color theme="3"/>
      </bottom>
      <diagonal/>
    </border>
    <border>
      <left style="thin">
        <color theme="3"/>
      </left>
      <right style="thin">
        <color theme="3"/>
      </right>
      <top/>
      <bottom/>
      <diagonal/>
    </border>
    <border>
      <left style="thin">
        <color theme="3"/>
      </left>
      <right style="medium">
        <color theme="3"/>
      </right>
      <top/>
      <bottom/>
      <diagonal/>
    </border>
    <border>
      <left/>
      <right style="thin">
        <color theme="3"/>
      </right>
      <top style="medium">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theme="3"/>
      </left>
      <right/>
      <top style="thin">
        <color theme="3"/>
      </top>
      <bottom/>
      <diagonal/>
    </border>
    <border>
      <left/>
      <right style="thin">
        <color theme="3"/>
      </right>
      <top style="thin">
        <color theme="3"/>
      </top>
      <bottom/>
      <diagonal/>
    </border>
    <border>
      <left style="thin">
        <color theme="3"/>
      </left>
      <right/>
      <top style="thin">
        <color indexed="64"/>
      </top>
      <bottom style="thin">
        <color indexed="64"/>
      </bottom>
      <diagonal/>
    </border>
    <border>
      <left style="thin">
        <color indexed="64"/>
      </left>
      <right style="thin">
        <color theme="3"/>
      </right>
      <top style="thin">
        <color indexed="64"/>
      </top>
      <bottom style="thin">
        <color indexed="64"/>
      </bottom>
      <diagonal/>
    </border>
    <border>
      <left/>
      <right style="thin">
        <color theme="3"/>
      </right>
      <top style="thin">
        <color indexed="64"/>
      </top>
      <bottom style="thin">
        <color indexed="64"/>
      </bottom>
      <diagonal/>
    </border>
    <border>
      <left style="thin">
        <color theme="3"/>
      </left>
      <right/>
      <top style="thin">
        <color indexed="64"/>
      </top>
      <bottom/>
      <diagonal/>
    </border>
    <border>
      <left style="thin">
        <color indexed="64"/>
      </left>
      <right style="thin">
        <color theme="3"/>
      </right>
      <top style="thin">
        <color indexed="64"/>
      </top>
      <bottom/>
      <diagonal/>
    </border>
    <border>
      <left style="thin">
        <color theme="3"/>
      </left>
      <right/>
      <top/>
      <bottom style="thin">
        <color indexed="64"/>
      </bottom>
      <diagonal/>
    </border>
    <border>
      <left style="thin">
        <color indexed="64"/>
      </left>
      <right style="thin">
        <color theme="3"/>
      </right>
      <top/>
      <bottom style="thin">
        <color indexed="64"/>
      </bottom>
      <diagonal/>
    </border>
    <border>
      <left style="thin">
        <color theme="3"/>
      </left>
      <right/>
      <top style="medium">
        <color indexed="64"/>
      </top>
      <bottom style="medium">
        <color indexed="64"/>
      </bottom>
      <diagonal/>
    </border>
    <border>
      <left style="thin">
        <color indexed="64"/>
      </left>
      <right style="thin">
        <color theme="3"/>
      </right>
      <top style="medium">
        <color indexed="64"/>
      </top>
      <bottom style="medium">
        <color indexed="64"/>
      </bottom>
      <diagonal/>
    </border>
    <border>
      <left style="thin">
        <color indexed="64"/>
      </left>
      <right style="thin">
        <color theme="3"/>
      </right>
      <top/>
      <bottom/>
      <diagonal/>
    </border>
    <border>
      <left/>
      <right/>
      <top/>
      <bottom style="thin">
        <color theme="3"/>
      </bottom>
      <diagonal/>
    </border>
    <border>
      <left style="thin">
        <color indexed="64"/>
      </left>
      <right/>
      <top style="thin">
        <color indexed="64"/>
      </top>
      <bottom style="thin">
        <color indexed="64"/>
      </bottom>
      <diagonal/>
    </border>
    <border>
      <left style="thin">
        <color rgb="FF1F497D"/>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medium">
        <color theme="3"/>
      </left>
      <right style="thin">
        <color theme="3"/>
      </right>
      <top style="thin">
        <color theme="3"/>
      </top>
      <bottom style="thin">
        <color theme="3"/>
      </bottom>
      <diagonal style="thin">
        <color auto="1"/>
      </diagonal>
    </border>
    <border>
      <left/>
      <right/>
      <top style="thin">
        <color theme="3"/>
      </top>
      <bottom style="medium">
        <color theme="3"/>
      </bottom>
      <diagonal/>
    </border>
    <border>
      <left/>
      <right style="thin">
        <color theme="3"/>
      </right>
      <top style="thin">
        <color theme="3"/>
      </top>
      <bottom style="medium">
        <color theme="3"/>
      </bottom>
      <diagonal/>
    </border>
    <border>
      <left style="thin">
        <color theme="3"/>
      </left>
      <right style="thin">
        <color theme="3"/>
      </right>
      <top style="thin">
        <color theme="3"/>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3"/>
      </left>
      <right/>
      <top style="medium">
        <color indexed="64"/>
      </top>
      <bottom style="thin">
        <color indexed="64"/>
      </bottom>
      <diagonal/>
    </border>
    <border>
      <left/>
      <right/>
      <top style="medium">
        <color indexed="64"/>
      </top>
      <bottom style="thin">
        <color indexed="64"/>
      </bottom>
      <diagonal/>
    </border>
    <border>
      <left/>
      <right style="thin">
        <color theme="3"/>
      </right>
      <top style="medium">
        <color indexed="64"/>
      </top>
      <bottom style="thin">
        <color indexed="64"/>
      </bottom>
      <diagonal/>
    </border>
    <border>
      <left style="thin">
        <color theme="3"/>
      </left>
      <right style="thin">
        <color indexed="64"/>
      </right>
      <top style="thin">
        <color theme="3"/>
      </top>
      <bottom style="thin">
        <color theme="3"/>
      </bottom>
      <diagonal/>
    </border>
    <border diagonalDown="1">
      <left/>
      <right style="thin">
        <color theme="3"/>
      </right>
      <top style="thin">
        <color theme="3"/>
      </top>
      <bottom style="thin">
        <color theme="3"/>
      </bottom>
      <diagonal style="thin">
        <color auto="1"/>
      </diagonal>
    </border>
    <border>
      <left style="thin">
        <color indexed="64"/>
      </left>
      <right style="thin">
        <color indexed="64"/>
      </right>
      <top/>
      <bottom style="thin">
        <color indexed="64"/>
      </bottom>
      <diagonal/>
    </border>
    <border>
      <left/>
      <right style="medium">
        <color theme="3"/>
      </right>
      <top style="thin">
        <color theme="3"/>
      </top>
      <bottom style="thin">
        <color theme="3"/>
      </bottom>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medium">
        <color theme="3"/>
      </top>
      <bottom/>
      <diagonal/>
    </border>
    <border>
      <left/>
      <right style="thin">
        <color theme="3"/>
      </right>
      <top/>
      <bottom style="thin">
        <color theme="3"/>
      </bottom>
      <diagonal/>
    </border>
    <border>
      <left/>
      <right style="thin">
        <color indexed="64"/>
      </right>
      <top style="thin">
        <color theme="3"/>
      </top>
      <bottom style="thin">
        <color theme="3"/>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3"/>
      </left>
      <right/>
      <top/>
      <bottom style="thin">
        <color theme="3"/>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theme="3"/>
      </left>
      <right/>
      <top style="thin">
        <color theme="3"/>
      </top>
      <bottom style="thin">
        <color indexed="64"/>
      </bottom>
      <diagonal/>
    </border>
    <border>
      <left/>
      <right style="thin">
        <color theme="3"/>
      </right>
      <top style="thin">
        <color theme="3"/>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theme="3"/>
      </left>
      <right style="thin">
        <color theme="3"/>
      </right>
      <top style="medium">
        <color indexed="64"/>
      </top>
      <bottom style="thin">
        <color theme="3"/>
      </bottom>
      <diagonal/>
    </border>
    <border>
      <left style="thin">
        <color theme="3"/>
      </left>
      <right style="thin">
        <color theme="3"/>
      </right>
      <top/>
      <bottom style="medium">
        <color indexed="64"/>
      </bottom>
      <diagonal/>
    </border>
    <border>
      <left style="thin">
        <color indexed="64"/>
      </left>
      <right style="medium">
        <color indexed="64"/>
      </right>
      <top/>
      <bottom style="medium">
        <color indexed="64"/>
      </bottom>
      <diagonal/>
    </border>
    <border>
      <left style="thin">
        <color theme="3"/>
      </left>
      <right style="thin">
        <color indexed="64"/>
      </right>
      <top style="medium">
        <color indexed="64"/>
      </top>
      <bottom style="thin">
        <color theme="3"/>
      </bottom>
      <diagonal/>
    </border>
    <border>
      <left style="thin">
        <color indexed="64"/>
      </left>
      <right style="medium">
        <color indexed="64"/>
      </right>
      <top style="medium">
        <color indexed="64"/>
      </top>
      <bottom style="thin">
        <color theme="3"/>
      </bottom>
      <diagonal/>
    </border>
    <border>
      <left style="thin">
        <color theme="3"/>
      </left>
      <right style="thin">
        <color indexed="64"/>
      </right>
      <top/>
      <bottom style="thin">
        <color theme="3"/>
      </bottom>
      <diagonal/>
    </border>
    <border>
      <left style="thin">
        <color theme="3"/>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35" fillId="0" borderId="0" applyNumberFormat="0" applyFill="0" applyBorder="0" applyAlignment="0" applyProtection="0"/>
  </cellStyleXfs>
  <cellXfs count="523">
    <xf numFmtId="0" fontId="0" fillId="0" borderId="0" xfId="0"/>
    <xf numFmtId="0" fontId="4" fillId="2" borderId="3" xfId="0" applyFont="1" applyFill="1" applyBorder="1" applyAlignment="1" applyProtection="1">
      <protection hidden="1"/>
    </xf>
    <xf numFmtId="0" fontId="4" fillId="2" borderId="3" xfId="0" applyFont="1" applyFill="1" applyBorder="1" applyAlignment="1" applyProtection="1">
      <alignment horizontal="left"/>
      <protection hidden="1"/>
    </xf>
    <xf numFmtId="0" fontId="4" fillId="2" borderId="3" xfId="0" applyFont="1" applyFill="1" applyBorder="1" applyAlignment="1" applyProtection="1">
      <alignment horizontal="left" vertical="top" wrapText="1"/>
      <protection hidden="1"/>
    </xf>
    <xf numFmtId="0" fontId="4" fillId="0" borderId="3" xfId="0" applyFont="1" applyFill="1" applyBorder="1" applyAlignment="1" applyProtection="1">
      <alignment horizontal="left"/>
      <protection hidden="1"/>
    </xf>
    <xf numFmtId="0" fontId="4" fillId="0" borderId="3" xfId="0" applyFont="1" applyFill="1" applyBorder="1" applyAlignment="1" applyProtection="1">
      <alignment horizontal="left" vertical="top" wrapText="1"/>
      <protection hidden="1"/>
    </xf>
    <xf numFmtId="0" fontId="4" fillId="2" borderId="3" xfId="0" applyFont="1" applyFill="1" applyBorder="1" applyAlignment="1" applyProtection="1">
      <alignment horizontal="left" vertical="top"/>
      <protection hidden="1"/>
    </xf>
    <xf numFmtId="0" fontId="4" fillId="0" borderId="3" xfId="0" applyFont="1" applyFill="1" applyBorder="1" applyAlignment="1" applyProtection="1">
      <alignment horizontal="left" vertical="top"/>
      <protection hidden="1"/>
    </xf>
    <xf numFmtId="0" fontId="4" fillId="0" borderId="22" xfId="0" applyFont="1" applyFill="1" applyBorder="1" applyAlignment="1" applyProtection="1">
      <alignment horizontal="left" vertical="top" wrapText="1"/>
      <protection hidden="1"/>
    </xf>
    <xf numFmtId="0" fontId="4" fillId="2" borderId="20" xfId="0" applyFont="1" applyFill="1" applyBorder="1" applyAlignment="1" applyProtection="1">
      <alignment horizontal="left" vertical="top" wrapText="1"/>
      <protection hidden="1"/>
    </xf>
    <xf numFmtId="0" fontId="6" fillId="2" borderId="0" xfId="0" applyFont="1" applyFill="1" applyBorder="1" applyAlignment="1" applyProtection="1">
      <alignment horizontal="left" vertical="top" wrapText="1"/>
      <protection hidden="1"/>
    </xf>
    <xf numFmtId="0" fontId="6" fillId="2" borderId="20" xfId="0" applyFont="1" applyFill="1" applyBorder="1" applyAlignment="1" applyProtection="1">
      <alignment horizontal="left" vertical="top" wrapText="1"/>
      <protection hidden="1"/>
    </xf>
    <xf numFmtId="0" fontId="4" fillId="0" borderId="20" xfId="0" applyFont="1" applyFill="1" applyBorder="1" applyAlignment="1" applyProtection="1">
      <alignment horizontal="left" vertical="top" wrapText="1"/>
      <protection hidden="1"/>
    </xf>
    <xf numFmtId="0" fontId="4" fillId="0" borderId="4" xfId="0" applyFont="1" applyFill="1" applyBorder="1" applyAlignment="1" applyProtection="1">
      <alignment horizontal="left" vertical="top"/>
      <protection hidden="1"/>
    </xf>
    <xf numFmtId="0" fontId="4" fillId="2" borderId="43" xfId="0" quotePrefix="1" applyFont="1" applyFill="1" applyBorder="1" applyAlignment="1" applyProtection="1">
      <alignment horizontal="left" vertical="top"/>
      <protection hidden="1"/>
    </xf>
    <xf numFmtId="0" fontId="4" fillId="2" borderId="43" xfId="0" quotePrefix="1" applyFont="1" applyFill="1" applyBorder="1" applyAlignment="1" applyProtection="1">
      <alignment horizontal="left" vertical="center"/>
      <protection hidden="1"/>
    </xf>
    <xf numFmtId="0" fontId="4" fillId="2" borderId="48" xfId="0" quotePrefix="1" applyFont="1" applyFill="1" applyBorder="1" applyAlignment="1" applyProtection="1">
      <alignment horizontal="left" vertical="top"/>
      <protection hidden="1"/>
    </xf>
    <xf numFmtId="164" fontId="10" fillId="5" borderId="51" xfId="0" applyNumberFormat="1" applyFont="1" applyFill="1" applyBorder="1" applyAlignment="1" applyProtection="1">
      <alignment vertical="center"/>
      <protection hidden="1"/>
    </xf>
    <xf numFmtId="164" fontId="4" fillId="2" borderId="44" xfId="0" applyNumberFormat="1" applyFont="1" applyFill="1" applyBorder="1" applyProtection="1">
      <protection hidden="1"/>
    </xf>
    <xf numFmtId="166" fontId="4" fillId="2" borderId="44" xfId="0" applyNumberFormat="1" applyFont="1" applyFill="1" applyBorder="1" applyAlignment="1" applyProtection="1">
      <alignment horizontal="right"/>
      <protection hidden="1"/>
    </xf>
    <xf numFmtId="9" fontId="0" fillId="0" borderId="0" xfId="1" applyFont="1"/>
    <xf numFmtId="167" fontId="0" fillId="0" borderId="0" xfId="1" applyNumberFormat="1" applyFont="1"/>
    <xf numFmtId="165" fontId="0" fillId="0" borderId="0" xfId="2" applyNumberFormat="1" applyFont="1"/>
    <xf numFmtId="0" fontId="0" fillId="0" borderId="0" xfId="0" applyAlignment="1">
      <alignment vertical="top" wrapText="1"/>
    </xf>
    <xf numFmtId="0" fontId="0" fillId="0" borderId="0" xfId="0"/>
    <xf numFmtId="0" fontId="0" fillId="0" borderId="0" xfId="0"/>
    <xf numFmtId="0" fontId="4" fillId="3" borderId="3" xfId="0" applyNumberFormat="1" applyFont="1" applyFill="1" applyBorder="1" applyAlignment="1" applyProtection="1">
      <alignment horizontal="right"/>
      <protection hidden="1"/>
    </xf>
    <xf numFmtId="0" fontId="4" fillId="3" borderId="5" xfId="0" applyNumberFormat="1" applyFont="1" applyFill="1" applyBorder="1" applyAlignment="1" applyProtection="1">
      <alignment horizontal="right"/>
      <protection hidden="1"/>
    </xf>
    <xf numFmtId="0" fontId="4" fillId="2" borderId="54" xfId="0" quotePrefix="1" applyFont="1" applyFill="1" applyBorder="1" applyAlignment="1" applyProtection="1">
      <alignment horizontal="left" vertical="top"/>
      <protection hidden="1"/>
    </xf>
    <xf numFmtId="0" fontId="6" fillId="2" borderId="54" xfId="0" quotePrefix="1" applyFont="1" applyFill="1" applyBorder="1" applyAlignment="1" applyProtection="1">
      <alignment horizontal="left" vertical="top"/>
      <protection hidden="1"/>
    </xf>
    <xf numFmtId="165" fontId="0" fillId="0" borderId="5" xfId="2" applyNumberFormat="1" applyFont="1" applyFill="1" applyBorder="1"/>
    <xf numFmtId="0" fontId="6" fillId="2" borderId="3" xfId="0" applyFont="1" applyFill="1" applyBorder="1" applyAlignment="1" applyProtection="1">
      <protection hidden="1"/>
    </xf>
    <xf numFmtId="0" fontId="6" fillId="2" borderId="56" xfId="0" quotePrefix="1" applyFont="1" applyFill="1" applyBorder="1" applyAlignment="1" applyProtection="1">
      <alignment horizontal="left" vertical="top"/>
      <protection hidden="1"/>
    </xf>
    <xf numFmtId="9" fontId="4" fillId="2" borderId="45" xfId="1" applyFont="1" applyFill="1" applyBorder="1" applyAlignment="1" applyProtection="1">
      <alignment vertical="center" wrapText="1"/>
      <protection hidden="1"/>
    </xf>
    <xf numFmtId="9" fontId="4" fillId="0" borderId="49" xfId="1" applyFont="1" applyFill="1" applyBorder="1" applyAlignment="1" applyProtection="1">
      <alignment vertical="top"/>
      <protection hidden="1"/>
    </xf>
    <xf numFmtId="0" fontId="0" fillId="0" borderId="0" xfId="0"/>
    <xf numFmtId="0" fontId="0" fillId="0" borderId="0" xfId="0"/>
    <xf numFmtId="165" fontId="0" fillId="0" borderId="61" xfId="2" applyNumberFormat="1" applyFont="1" applyFill="1" applyBorder="1"/>
    <xf numFmtId="165" fontId="0" fillId="0" borderId="1" xfId="0" applyNumberFormat="1" applyBorder="1"/>
    <xf numFmtId="165" fontId="0" fillId="0" borderId="39" xfId="2" applyNumberFormat="1" applyFont="1" applyFill="1" applyBorder="1"/>
    <xf numFmtId="165" fontId="0" fillId="0" borderId="41" xfId="2" applyNumberFormat="1" applyFont="1" applyFill="1" applyBorder="1"/>
    <xf numFmtId="165" fontId="0" fillId="0" borderId="54" xfId="0" applyNumberFormat="1" applyBorder="1"/>
    <xf numFmtId="0" fontId="4" fillId="3" borderId="5" xfId="0" applyNumberFormat="1" applyFont="1" applyFill="1" applyBorder="1" applyAlignment="1" applyProtection="1">
      <alignment horizontal="right" wrapText="1"/>
      <protection hidden="1"/>
    </xf>
    <xf numFmtId="0" fontId="4" fillId="2" borderId="22" xfId="0" applyFont="1" applyFill="1" applyBorder="1" applyAlignment="1" applyProtection="1">
      <alignment horizontal="left" wrapText="1"/>
      <protection hidden="1"/>
    </xf>
    <xf numFmtId="0" fontId="6" fillId="2" borderId="48" xfId="0" quotePrefix="1" applyFont="1" applyFill="1" applyBorder="1" applyAlignment="1" applyProtection="1">
      <alignment horizontal="left" vertical="top"/>
      <protection hidden="1"/>
    </xf>
    <xf numFmtId="0" fontId="0" fillId="0" borderId="0" xfId="0" applyFill="1"/>
    <xf numFmtId="0" fontId="0" fillId="0" borderId="0" xfId="0"/>
    <xf numFmtId="0" fontId="28" fillId="0" borderId="20" xfId="0" applyFont="1" applyFill="1" applyBorder="1" applyAlignment="1" applyProtection="1">
      <alignment horizontal="left" vertical="top" wrapText="1"/>
      <protection hidden="1"/>
    </xf>
    <xf numFmtId="0" fontId="0" fillId="0" borderId="0" xfId="0" applyAlignment="1">
      <alignment wrapText="1"/>
    </xf>
    <xf numFmtId="0" fontId="4" fillId="2" borderId="22" xfId="0" applyFont="1" applyFill="1" applyBorder="1" applyAlignment="1" applyProtection="1">
      <alignment horizontal="left" vertical="top" wrapText="1"/>
      <protection hidden="1"/>
    </xf>
    <xf numFmtId="0" fontId="6" fillId="2" borderId="3" xfId="0" applyFont="1" applyFill="1" applyBorder="1" applyAlignment="1" applyProtection="1">
      <alignment wrapText="1"/>
      <protection hidden="1"/>
    </xf>
    <xf numFmtId="0" fontId="4" fillId="2" borderId="22" xfId="0" applyFont="1" applyFill="1" applyBorder="1" applyAlignment="1" applyProtection="1">
      <alignment horizontal="left"/>
      <protection hidden="1"/>
    </xf>
    <xf numFmtId="0" fontId="4" fillId="2" borderId="46" xfId="0" quotePrefix="1" applyFont="1" applyFill="1" applyBorder="1" applyAlignment="1" applyProtection="1">
      <alignment horizontal="left" vertical="center"/>
      <protection hidden="1"/>
    </xf>
    <xf numFmtId="0" fontId="6" fillId="2" borderId="43" xfId="0" quotePrefix="1" applyFont="1" applyFill="1" applyBorder="1" applyAlignment="1" applyProtection="1">
      <alignment horizontal="left" vertical="top"/>
      <protection hidden="1"/>
    </xf>
    <xf numFmtId="9" fontId="4" fillId="3" borderId="45" xfId="1" applyFont="1" applyFill="1" applyBorder="1" applyAlignment="1" applyProtection="1">
      <alignment vertical="center" wrapText="1"/>
      <protection hidden="1"/>
    </xf>
    <xf numFmtId="0" fontId="29" fillId="2" borderId="48" xfId="0" applyFont="1" applyFill="1" applyBorder="1" applyAlignment="1" applyProtection="1">
      <protection hidden="1"/>
    </xf>
    <xf numFmtId="0" fontId="29" fillId="2" borderId="22" xfId="0" applyFont="1" applyFill="1" applyBorder="1" applyAlignment="1" applyProtection="1">
      <protection hidden="1"/>
    </xf>
    <xf numFmtId="0" fontId="6" fillId="2" borderId="3" xfId="0" applyFont="1" applyFill="1" applyBorder="1" applyAlignment="1" applyProtection="1">
      <alignment horizontal="left" vertical="top" wrapText="1"/>
      <protection hidden="1"/>
    </xf>
    <xf numFmtId="0" fontId="6" fillId="2" borderId="57" xfId="0" applyFont="1" applyFill="1" applyBorder="1" applyAlignment="1" applyProtection="1">
      <alignment wrapText="1"/>
      <protection hidden="1"/>
    </xf>
    <xf numFmtId="0" fontId="6" fillId="2" borderId="3" xfId="0" applyFont="1" applyFill="1" applyBorder="1" applyAlignment="1" applyProtection="1">
      <alignment vertical="top" wrapText="1"/>
      <protection hidden="1"/>
    </xf>
    <xf numFmtId="0" fontId="6" fillId="2" borderId="54" xfId="0" applyFont="1" applyFill="1" applyBorder="1" applyAlignment="1" applyProtection="1">
      <alignment vertical="top" wrapText="1"/>
      <protection hidden="1"/>
    </xf>
    <xf numFmtId="0" fontId="4" fillId="2" borderId="48" xfId="0" quotePrefix="1" applyFont="1" applyFill="1" applyBorder="1" applyAlignment="1" applyProtection="1">
      <alignment horizontal="left" vertical="center"/>
      <protection hidden="1"/>
    </xf>
    <xf numFmtId="0" fontId="6" fillId="2" borderId="20" xfId="0" applyFont="1" applyFill="1" applyBorder="1" applyAlignment="1" applyProtection="1">
      <alignment horizontal="left"/>
      <protection hidden="1"/>
    </xf>
    <xf numFmtId="0" fontId="4" fillId="2" borderId="77" xfId="0" applyNumberFormat="1" applyFont="1" applyFill="1" applyBorder="1" applyAlignment="1" applyProtection="1">
      <alignment horizontal="right"/>
      <protection hidden="1"/>
    </xf>
    <xf numFmtId="0" fontId="4" fillId="2" borderId="78" xfId="0" applyNumberFormat="1" applyFont="1" applyFill="1" applyBorder="1" applyAlignment="1" applyProtection="1">
      <alignment horizontal="right"/>
      <protection hidden="1"/>
    </xf>
    <xf numFmtId="0" fontId="0" fillId="0" borderId="0" xfId="0" applyFill="1" applyBorder="1"/>
    <xf numFmtId="0" fontId="0" fillId="0" borderId="0" xfId="0" applyFont="1" applyFill="1" applyBorder="1" applyAlignment="1">
      <alignment horizontal="left"/>
    </xf>
    <xf numFmtId="0" fontId="29" fillId="2" borderId="20" xfId="0" applyFont="1" applyFill="1" applyBorder="1" applyAlignment="1" applyProtection="1">
      <protection hidden="1"/>
    </xf>
    <xf numFmtId="0" fontId="6" fillId="2" borderId="1" xfId="0" applyFont="1" applyFill="1" applyBorder="1" applyAlignment="1" applyProtection="1">
      <alignment horizontal="center" vertical="center" wrapText="1"/>
      <protection hidden="1"/>
    </xf>
    <xf numFmtId="0" fontId="4" fillId="2" borderId="0" xfId="0" applyFont="1" applyFill="1" applyBorder="1" applyAlignment="1" applyProtection="1">
      <alignment vertical="top"/>
      <protection hidden="1"/>
    </xf>
    <xf numFmtId="0" fontId="4" fillId="2" borderId="0" xfId="0" applyFont="1" applyFill="1" applyBorder="1" applyProtection="1">
      <protection hidden="1"/>
    </xf>
    <xf numFmtId="0" fontId="17" fillId="2" borderId="0" xfId="0" applyFont="1" applyFill="1" applyBorder="1" applyAlignment="1" applyProtection="1">
      <alignment vertical="center" wrapText="1"/>
      <protection hidden="1"/>
    </xf>
    <xf numFmtId="0" fontId="6" fillId="2" borderId="48" xfId="0" quotePrefix="1" applyFont="1" applyFill="1" applyBorder="1" applyAlignment="1" applyProtection="1">
      <alignment horizontal="left" vertical="center"/>
      <protection hidden="1"/>
    </xf>
    <xf numFmtId="0" fontId="33" fillId="0" borderId="0" xfId="0" applyFont="1" applyFill="1" applyBorder="1"/>
    <xf numFmtId="0" fontId="33" fillId="0" borderId="0" xfId="0" applyFont="1" applyFill="1"/>
    <xf numFmtId="0" fontId="0" fillId="0" borderId="0" xfId="0" applyAlignment="1">
      <alignment wrapText="1"/>
    </xf>
    <xf numFmtId="9" fontId="36" fillId="0" borderId="0" xfId="1" applyFont="1"/>
    <xf numFmtId="0" fontId="4" fillId="3" borderId="39" xfId="0" applyNumberFormat="1" applyFont="1" applyFill="1" applyBorder="1" applyAlignment="1" applyProtection="1">
      <alignment horizontal="right"/>
      <protection hidden="1"/>
    </xf>
    <xf numFmtId="0" fontId="4" fillId="3" borderId="39" xfId="0" applyNumberFormat="1" applyFont="1" applyFill="1" applyBorder="1" applyAlignment="1" applyProtection="1">
      <alignment horizontal="right" wrapText="1"/>
      <protection hidden="1"/>
    </xf>
    <xf numFmtId="165" fontId="0" fillId="11" borderId="1" xfId="0" applyNumberFormat="1" applyFont="1" applyFill="1" applyBorder="1"/>
    <xf numFmtId="165" fontId="0" fillId="9" borderId="1" xfId="0" applyNumberFormat="1" applyFill="1" applyBorder="1"/>
    <xf numFmtId="169" fontId="4" fillId="3" borderId="5" xfId="0" applyNumberFormat="1" applyFont="1" applyFill="1" applyBorder="1" applyAlignment="1" applyProtection="1">
      <alignment horizontal="right"/>
      <protection hidden="1"/>
    </xf>
    <xf numFmtId="169" fontId="4" fillId="3" borderId="39" xfId="0" applyNumberFormat="1" applyFont="1" applyFill="1" applyBorder="1" applyAlignment="1" applyProtection="1">
      <alignment horizontal="right"/>
      <protection hidden="1"/>
    </xf>
    <xf numFmtId="9" fontId="0" fillId="9" borderId="5" xfId="1" applyFont="1" applyFill="1" applyBorder="1"/>
    <xf numFmtId="9" fontId="0" fillId="9" borderId="39" xfId="1" applyFont="1" applyFill="1" applyBorder="1"/>
    <xf numFmtId="165" fontId="0" fillId="9" borderId="5" xfId="2" applyNumberFormat="1" applyFont="1" applyFill="1" applyBorder="1"/>
    <xf numFmtId="165" fontId="0" fillId="9" borderId="39" xfId="2" applyNumberFormat="1" applyFont="1" applyFill="1" applyBorder="1"/>
    <xf numFmtId="0" fontId="26" fillId="0" borderId="1" xfId="0" applyFont="1" applyFill="1" applyBorder="1"/>
    <xf numFmtId="0" fontId="26" fillId="0" borderId="54" xfId="0" applyFont="1" applyFill="1" applyBorder="1"/>
    <xf numFmtId="0" fontId="0" fillId="3" borderId="82" xfId="0" applyFill="1" applyBorder="1"/>
    <xf numFmtId="165" fontId="0" fillId="9" borderId="83" xfId="2" applyNumberFormat="1" applyFont="1" applyFill="1" applyBorder="1" applyAlignment="1">
      <alignment wrapText="1"/>
    </xf>
    <xf numFmtId="0" fontId="4" fillId="3" borderId="25" xfId="0" applyNumberFormat="1" applyFont="1" applyFill="1" applyBorder="1" applyAlignment="1" applyProtection="1">
      <alignment horizontal="right"/>
      <protection hidden="1"/>
    </xf>
    <xf numFmtId="0" fontId="4" fillId="3" borderId="84" xfId="0" applyNumberFormat="1" applyFont="1" applyFill="1" applyBorder="1" applyAlignment="1" applyProtection="1">
      <alignment horizontal="right"/>
      <protection hidden="1"/>
    </xf>
    <xf numFmtId="0" fontId="0" fillId="12" borderId="1" xfId="0" applyFill="1" applyBorder="1"/>
    <xf numFmtId="0" fontId="0" fillId="12" borderId="75" xfId="0" applyFill="1" applyBorder="1"/>
    <xf numFmtId="165" fontId="0" fillId="13" borderId="1" xfId="0" applyNumberFormat="1" applyFont="1" applyFill="1" applyBorder="1"/>
    <xf numFmtId="165" fontId="0" fillId="12" borderId="1" xfId="0" applyNumberFormat="1" applyFill="1" applyBorder="1"/>
    <xf numFmtId="168" fontId="0" fillId="12" borderId="67" xfId="0" applyNumberFormat="1" applyFill="1" applyBorder="1"/>
    <xf numFmtId="168" fontId="0" fillId="12" borderId="68" xfId="0" applyNumberFormat="1" applyFill="1" applyBorder="1"/>
    <xf numFmtId="0" fontId="33" fillId="12" borderId="67" xfId="0" applyFont="1" applyFill="1" applyBorder="1"/>
    <xf numFmtId="0" fontId="33" fillId="12" borderId="68" xfId="0" applyFont="1" applyFill="1" applyBorder="1"/>
    <xf numFmtId="0" fontId="33" fillId="12" borderId="86" xfId="0" applyFont="1" applyFill="1" applyBorder="1"/>
    <xf numFmtId="165" fontId="0" fillId="0" borderId="25" xfId="2" applyNumberFormat="1" applyFont="1" applyFill="1" applyBorder="1"/>
    <xf numFmtId="9" fontId="4" fillId="3" borderId="1" xfId="1" applyFont="1" applyFill="1" applyBorder="1" applyAlignment="1" applyProtection="1">
      <alignment horizontal="right"/>
      <protection hidden="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26" fillId="12" borderId="1" xfId="0" applyFont="1" applyFill="1" applyBorder="1"/>
    <xf numFmtId="0" fontId="26" fillId="12" borderId="54" xfId="0" applyFont="1" applyFill="1" applyBorder="1"/>
    <xf numFmtId="165" fontId="0" fillId="0" borderId="92" xfId="2" applyNumberFormat="1" applyFont="1" applyFill="1" applyBorder="1"/>
    <xf numFmtId="165" fontId="0" fillId="0" borderId="93" xfId="2" applyNumberFormat="1" applyFont="1" applyFill="1" applyBorder="1"/>
    <xf numFmtId="168" fontId="0" fillId="12" borderId="86" xfId="0" applyNumberFormat="1" applyFill="1" applyBorder="1"/>
    <xf numFmtId="0" fontId="26" fillId="0" borderId="66" xfId="0" applyFont="1" applyBorder="1"/>
    <xf numFmtId="0" fontId="26" fillId="0" borderId="1" xfId="0" applyFont="1" applyBorder="1"/>
    <xf numFmtId="169" fontId="0" fillId="0" borderId="66" xfId="3" applyNumberFormat="1" applyFont="1" applyBorder="1"/>
    <xf numFmtId="169" fontId="33" fillId="12" borderId="67" xfId="0" applyNumberFormat="1" applyFont="1" applyFill="1" applyBorder="1"/>
    <xf numFmtId="169" fontId="0" fillId="0" borderId="1" xfId="3" applyNumberFormat="1" applyFont="1" applyBorder="1"/>
    <xf numFmtId="169" fontId="26" fillId="9" borderId="68" xfId="0" applyNumberFormat="1" applyFont="1" applyFill="1" applyBorder="1"/>
    <xf numFmtId="169" fontId="33" fillId="12" borderId="68" xfId="0" applyNumberFormat="1" applyFont="1" applyFill="1" applyBorder="1"/>
    <xf numFmtId="169" fontId="0" fillId="0" borderId="66" xfId="3" applyNumberFormat="1" applyFont="1" applyFill="1" applyBorder="1"/>
    <xf numFmtId="169" fontId="0" fillId="0" borderId="1" xfId="3" applyNumberFormat="1" applyFont="1" applyFill="1" applyBorder="1"/>
    <xf numFmtId="169" fontId="24" fillId="0" borderId="68" xfId="0" applyNumberFormat="1" applyFont="1" applyBorder="1"/>
    <xf numFmtId="169" fontId="24" fillId="9" borderId="1" xfId="0" applyNumberFormat="1" applyFont="1" applyFill="1" applyBorder="1"/>
    <xf numFmtId="169" fontId="0" fillId="0" borderId="1" xfId="0" applyNumberFormat="1" applyBorder="1"/>
    <xf numFmtId="169" fontId="0" fillId="0" borderId="1" xfId="0" applyNumberFormat="1" applyFill="1" applyBorder="1"/>
    <xf numFmtId="0" fontId="0" fillId="0" borderId="0" xfId="0" applyFill="1" applyBorder="1" applyAlignment="1">
      <alignment vertical="center"/>
    </xf>
    <xf numFmtId="169" fontId="0" fillId="0" borderId="68" xfId="0" applyNumberFormat="1" applyFill="1" applyBorder="1"/>
    <xf numFmtId="169" fontId="24" fillId="0" borderId="68" xfId="0" applyNumberFormat="1" applyFont="1" applyFill="1" applyBorder="1"/>
    <xf numFmtId="0" fontId="0" fillId="0" borderId="71" xfId="0" applyBorder="1" applyAlignment="1">
      <alignment vertical="center" wrapText="1"/>
    </xf>
    <xf numFmtId="0" fontId="0" fillId="0" borderId="20" xfId="0" applyBorder="1" applyAlignment="1">
      <alignment vertical="center" wrapText="1"/>
    </xf>
    <xf numFmtId="0" fontId="0" fillId="0" borderId="85" xfId="0" applyFill="1" applyBorder="1" applyAlignment="1"/>
    <xf numFmtId="168" fontId="0" fillId="0" borderId="0" xfId="3" applyNumberFormat="1" applyFont="1" applyFill="1" applyBorder="1"/>
    <xf numFmtId="168" fontId="24" fillId="0" borderId="0" xfId="0" applyNumberFormat="1" applyFont="1" applyFill="1" applyBorder="1"/>
    <xf numFmtId="0" fontId="22" fillId="0" borderId="0" xfId="0" applyFont="1" applyFill="1" applyBorder="1" applyAlignment="1" applyProtection="1">
      <alignment vertical="center"/>
      <protection hidden="1"/>
    </xf>
    <xf numFmtId="0" fontId="13" fillId="0" borderId="0" xfId="0" applyFont="1" applyFill="1" applyBorder="1"/>
    <xf numFmtId="0" fontId="26" fillId="0" borderId="69" xfId="0" applyFont="1" applyBorder="1"/>
    <xf numFmtId="0" fontId="26" fillId="0" borderId="69" xfId="0" applyFont="1" applyFill="1" applyBorder="1"/>
    <xf numFmtId="0" fontId="0" fillId="0" borderId="66" xfId="0" applyBorder="1" applyAlignment="1">
      <alignment wrapText="1"/>
    </xf>
    <xf numFmtId="165" fontId="0" fillId="0" borderId="92" xfId="2" applyNumberFormat="1" applyFont="1" applyFill="1" applyBorder="1" applyAlignment="1">
      <alignment wrapText="1"/>
    </xf>
    <xf numFmtId="0" fontId="0" fillId="0" borderId="1" xfId="0" applyBorder="1" applyAlignment="1">
      <alignment wrapText="1"/>
    </xf>
    <xf numFmtId="165" fontId="0" fillId="0" borderId="25" xfId="2" applyNumberFormat="1" applyFont="1" applyFill="1" applyBorder="1" applyAlignment="1">
      <alignment wrapText="1"/>
    </xf>
    <xf numFmtId="0" fontId="0" fillId="0" borderId="69" xfId="0" applyFill="1" applyBorder="1" applyAlignment="1">
      <alignment wrapText="1"/>
    </xf>
    <xf numFmtId="165" fontId="0" fillId="0" borderId="93" xfId="2" applyNumberFormat="1" applyFont="1" applyFill="1" applyBorder="1" applyAlignment="1">
      <alignment wrapText="1"/>
    </xf>
    <xf numFmtId="169" fontId="0" fillId="0" borderId="69" xfId="3" applyNumberFormat="1" applyFont="1" applyBorder="1"/>
    <xf numFmtId="169" fontId="33" fillId="12" borderId="86" xfId="0" applyNumberFormat="1" applyFont="1" applyFill="1" applyBorder="1"/>
    <xf numFmtId="0" fontId="0" fillId="0" borderId="87" xfId="0" applyBorder="1" applyAlignment="1">
      <alignment vertical="center" wrapText="1"/>
    </xf>
    <xf numFmtId="165" fontId="0" fillId="0" borderId="0" xfId="0" applyNumberFormat="1" applyFill="1"/>
    <xf numFmtId="169" fontId="33" fillId="12" borderId="1" xfId="0" applyNumberFormat="1" applyFont="1" applyFill="1" applyBorder="1"/>
    <xf numFmtId="169" fontId="24" fillId="9" borderId="75" xfId="0" applyNumberFormat="1" applyFont="1" applyFill="1" applyBorder="1"/>
    <xf numFmtId="165" fontId="0" fillId="0" borderId="0" xfId="0" applyNumberFormat="1" applyFill="1" applyBorder="1"/>
    <xf numFmtId="165" fontId="0" fillId="0" borderId="95" xfId="2" applyNumberFormat="1" applyFont="1" applyFill="1" applyBorder="1" applyAlignment="1">
      <alignment wrapText="1"/>
    </xf>
    <xf numFmtId="165" fontId="0" fillId="9" borderId="96" xfId="2" applyNumberFormat="1" applyFont="1" applyFill="1" applyBorder="1" applyAlignment="1">
      <alignment wrapText="1"/>
    </xf>
    <xf numFmtId="165" fontId="0" fillId="0" borderId="97" xfId="2" applyNumberFormat="1" applyFont="1" applyFill="1" applyBorder="1" applyAlignment="1">
      <alignment wrapText="1"/>
    </xf>
    <xf numFmtId="0" fontId="0" fillId="12" borderId="68" xfId="0" applyFill="1" applyBorder="1" applyAlignment="1">
      <alignment wrapText="1"/>
    </xf>
    <xf numFmtId="165" fontId="0" fillId="0" borderId="98" xfId="2" applyNumberFormat="1" applyFont="1" applyFill="1" applyBorder="1" applyAlignment="1">
      <alignment wrapText="1"/>
    </xf>
    <xf numFmtId="0" fontId="0" fillId="12" borderId="86" xfId="0" applyFill="1" applyBorder="1" applyAlignment="1">
      <alignment wrapText="1"/>
    </xf>
    <xf numFmtId="169" fontId="1" fillId="9" borderId="67" xfId="0" applyNumberFormat="1" applyFont="1" applyFill="1" applyBorder="1"/>
    <xf numFmtId="169" fontId="1" fillId="9" borderId="68" xfId="0" applyNumberFormat="1" applyFont="1" applyFill="1" applyBorder="1"/>
    <xf numFmtId="169" fontId="0" fillId="0" borderId="91" xfId="3" applyNumberFormat="1" applyFont="1" applyFill="1" applyBorder="1"/>
    <xf numFmtId="169" fontId="24" fillId="9" borderId="94" xfId="0" applyNumberFormat="1" applyFont="1" applyFill="1" applyBorder="1"/>
    <xf numFmtId="0" fontId="24" fillId="0" borderId="99" xfId="0" applyFont="1" applyBorder="1"/>
    <xf numFmtId="169" fontId="6" fillId="0" borderId="49" xfId="0" applyNumberFormat="1" applyFont="1" applyFill="1" applyBorder="1" applyAlignment="1" applyProtection="1">
      <alignment vertical="top"/>
      <protection hidden="1"/>
    </xf>
    <xf numFmtId="169" fontId="4" fillId="0" borderId="49" xfId="0" applyNumberFormat="1" applyFont="1" applyFill="1" applyBorder="1" applyAlignment="1" applyProtection="1">
      <alignment vertical="top"/>
      <protection hidden="1"/>
    </xf>
    <xf numFmtId="169" fontId="6" fillId="0" borderId="44" xfId="0" applyNumberFormat="1" applyFont="1" applyFill="1" applyBorder="1" applyAlignment="1" applyProtection="1">
      <alignment vertical="top"/>
      <protection hidden="1"/>
    </xf>
    <xf numFmtId="169" fontId="4" fillId="0" borderId="44" xfId="0" applyNumberFormat="1" applyFont="1" applyFill="1" applyBorder="1" applyAlignment="1" applyProtection="1">
      <alignment vertical="top"/>
      <protection hidden="1"/>
    </xf>
    <xf numFmtId="169" fontId="6" fillId="0" borderId="49" xfId="0" applyNumberFormat="1" applyFont="1" applyFill="1" applyBorder="1" applyProtection="1">
      <protection hidden="1"/>
    </xf>
    <xf numFmtId="169" fontId="4" fillId="0" borderId="49" xfId="0" applyNumberFormat="1" applyFont="1" applyFill="1" applyBorder="1" applyProtection="1">
      <protection hidden="1"/>
    </xf>
    <xf numFmtId="169" fontId="29" fillId="2" borderId="49" xfId="0" applyNumberFormat="1" applyFont="1" applyFill="1" applyBorder="1" applyAlignment="1" applyProtection="1">
      <protection hidden="1"/>
    </xf>
    <xf numFmtId="169" fontId="4" fillId="2" borderId="49" xfId="0" applyNumberFormat="1" applyFont="1" applyFill="1" applyBorder="1" applyAlignment="1" applyProtection="1">
      <alignment vertical="top"/>
      <protection hidden="1"/>
    </xf>
    <xf numFmtId="169" fontId="6" fillId="2" borderId="44" xfId="0" applyNumberFormat="1" applyFont="1" applyFill="1" applyBorder="1" applyProtection="1">
      <protection hidden="1"/>
    </xf>
    <xf numFmtId="169" fontId="4" fillId="2" borderId="44" xfId="0" applyNumberFormat="1" applyFont="1" applyFill="1" applyBorder="1" applyAlignment="1" applyProtection="1">
      <alignment vertical="top"/>
      <protection hidden="1"/>
    </xf>
    <xf numFmtId="169" fontId="27" fillId="2" borderId="1" xfId="0" applyNumberFormat="1" applyFont="1" applyFill="1" applyBorder="1" applyAlignment="1" applyProtection="1">
      <alignment vertical="top"/>
      <protection hidden="1"/>
    </xf>
    <xf numFmtId="169" fontId="6" fillId="2" borderId="1" xfId="0" applyNumberFormat="1" applyFont="1" applyFill="1" applyBorder="1" applyAlignment="1" applyProtection="1">
      <alignment vertical="top"/>
      <protection hidden="1"/>
    </xf>
    <xf numFmtId="169" fontId="4" fillId="0" borderId="1" xfId="0" applyNumberFormat="1" applyFont="1" applyFill="1" applyBorder="1" applyProtection="1">
      <protection hidden="1"/>
    </xf>
    <xf numFmtId="169" fontId="6" fillId="0" borderId="1" xfId="0" applyNumberFormat="1" applyFont="1" applyFill="1" applyBorder="1" applyProtection="1">
      <protection hidden="1"/>
    </xf>
    <xf numFmtId="0" fontId="6" fillId="2" borderId="48" xfId="0" quotePrefix="1" applyFont="1" applyFill="1" applyBorder="1" applyAlignment="1" applyProtection="1">
      <alignment horizontal="left"/>
      <protection hidden="1"/>
    </xf>
    <xf numFmtId="169" fontId="6" fillId="2" borderId="52" xfId="0" applyNumberFormat="1" applyFont="1" applyFill="1" applyBorder="1" applyAlignment="1" applyProtection="1">
      <alignment vertical="top"/>
      <protection hidden="1"/>
    </xf>
    <xf numFmtId="169" fontId="6" fillId="2" borderId="44" xfId="0" applyNumberFormat="1" applyFont="1" applyFill="1" applyBorder="1" applyAlignment="1" applyProtection="1">
      <alignment vertical="top"/>
      <protection hidden="1"/>
    </xf>
    <xf numFmtId="169" fontId="6" fillId="2" borderId="49" xfId="0" applyNumberFormat="1" applyFont="1" applyFill="1" applyBorder="1" applyProtection="1">
      <protection hidden="1"/>
    </xf>
    <xf numFmtId="0" fontId="10" fillId="2" borderId="0" xfId="0" applyFont="1" applyFill="1" applyBorder="1" applyAlignment="1" applyProtection="1">
      <alignment vertical="center"/>
      <protection hidden="1"/>
    </xf>
    <xf numFmtId="0" fontId="0" fillId="0" borderId="1" xfId="0" applyFill="1" applyBorder="1"/>
    <xf numFmtId="0" fontId="0" fillId="0" borderId="71" xfId="0" applyFill="1" applyBorder="1" applyAlignment="1"/>
    <xf numFmtId="0" fontId="0" fillId="0" borderId="20" xfId="0" applyFill="1" applyBorder="1" applyAlignment="1"/>
    <xf numFmtId="0" fontId="0" fillId="0" borderId="3" xfId="0" applyFill="1" applyBorder="1" applyAlignment="1"/>
    <xf numFmtId="9" fontId="4" fillId="0" borderId="105" xfId="1" applyFont="1" applyFill="1" applyBorder="1" applyAlignment="1" applyProtection="1">
      <alignment vertical="top"/>
      <protection hidden="1"/>
    </xf>
    <xf numFmtId="164" fontId="0" fillId="0" borderId="68" xfId="0" applyNumberFormat="1" applyFill="1" applyBorder="1"/>
    <xf numFmtId="165" fontId="0" fillId="0" borderId="0" xfId="2" applyNumberFormat="1" applyFont="1" applyFill="1" applyBorder="1"/>
    <xf numFmtId="0" fontId="0" fillId="0" borderId="0" xfId="0" applyFill="1" applyBorder="1" applyAlignment="1">
      <alignment horizontal="left"/>
    </xf>
    <xf numFmtId="165" fontId="0" fillId="0" borderId="1" xfId="2" applyNumberFormat="1" applyFont="1" applyFill="1" applyBorder="1"/>
    <xf numFmtId="0" fontId="0" fillId="0" borderId="66" xfId="0" applyFill="1" applyBorder="1" applyAlignment="1">
      <alignment wrapText="1"/>
    </xf>
    <xf numFmtId="0" fontId="0" fillId="0" borderId="1" xfId="0" applyFill="1" applyBorder="1" applyAlignment="1">
      <alignment wrapText="1"/>
    </xf>
    <xf numFmtId="0" fontId="0" fillId="0" borderId="71" xfId="0" applyFill="1" applyBorder="1" applyAlignment="1">
      <alignment vertical="center" wrapText="1"/>
    </xf>
    <xf numFmtId="0" fontId="0" fillId="0" borderId="20" xfId="0" applyFill="1" applyBorder="1" applyAlignment="1">
      <alignment vertical="center" wrapText="1"/>
    </xf>
    <xf numFmtId="0" fontId="0" fillId="0" borderId="87" xfId="0" applyFill="1" applyBorder="1" applyAlignment="1">
      <alignment vertical="center" wrapText="1"/>
    </xf>
    <xf numFmtId="0" fontId="4" fillId="0" borderId="71" xfId="0" applyFont="1" applyFill="1" applyBorder="1" applyAlignment="1" applyProtection="1">
      <alignment vertical="top" wrapText="1"/>
      <protection hidden="1"/>
    </xf>
    <xf numFmtId="0" fontId="4" fillId="0" borderId="57" xfId="0" applyFont="1" applyFill="1" applyBorder="1" applyAlignment="1" applyProtection="1">
      <alignment horizontal="left" vertical="top" wrapText="1"/>
      <protection hidden="1"/>
    </xf>
    <xf numFmtId="164" fontId="27" fillId="0" borderId="68" xfId="0" applyNumberFormat="1" applyFont="1" applyFill="1" applyBorder="1" applyAlignment="1" applyProtection="1">
      <alignment vertical="top"/>
      <protection hidden="1"/>
    </xf>
    <xf numFmtId="164" fontId="27" fillId="0" borderId="0" xfId="0" applyNumberFormat="1" applyFont="1" applyFill="1" applyBorder="1" applyAlignment="1" applyProtection="1">
      <alignment vertical="top"/>
      <protection hidden="1"/>
    </xf>
    <xf numFmtId="0" fontId="4" fillId="0" borderId="53" xfId="0" applyFont="1" applyFill="1" applyBorder="1" applyAlignment="1" applyProtection="1">
      <alignment horizontal="left" vertical="top"/>
      <protection hidden="1"/>
    </xf>
    <xf numFmtId="0" fontId="4" fillId="0" borderId="80" xfId="0" applyFont="1" applyFill="1" applyBorder="1" applyAlignment="1" applyProtection="1">
      <alignment horizontal="left" vertical="top"/>
      <protection hidden="1"/>
    </xf>
    <xf numFmtId="164" fontId="4" fillId="0" borderId="25" xfId="0" applyNumberFormat="1" applyFont="1" applyFill="1" applyBorder="1" applyProtection="1">
      <protection locked="0"/>
    </xf>
    <xf numFmtId="164" fontId="4" fillId="0" borderId="105" xfId="0" applyNumberFormat="1" applyFont="1" applyFill="1" applyBorder="1" applyAlignment="1" applyProtection="1">
      <alignment vertical="top"/>
      <protection hidden="1"/>
    </xf>
    <xf numFmtId="164" fontId="4" fillId="14" borderId="68" xfId="0" applyNumberFormat="1" applyFont="1" applyFill="1" applyBorder="1" applyAlignment="1" applyProtection="1">
      <alignment vertical="top"/>
      <protection hidden="1"/>
    </xf>
    <xf numFmtId="164" fontId="4" fillId="14" borderId="86" xfId="0" applyNumberFormat="1" applyFont="1" applyFill="1" applyBorder="1" applyAlignment="1" applyProtection="1">
      <alignment vertical="top"/>
      <protection hidden="1"/>
    </xf>
    <xf numFmtId="169" fontId="0" fillId="0" borderId="75" xfId="0" applyNumberFormat="1" applyBorder="1"/>
    <xf numFmtId="169" fontId="33" fillId="12" borderId="75" xfId="0" applyNumberFormat="1" applyFont="1" applyFill="1" applyBorder="1"/>
    <xf numFmtId="9" fontId="28" fillId="0" borderId="75" xfId="1" applyFont="1" applyFill="1" applyBorder="1" applyAlignment="1">
      <alignment horizontal="center" vertical="center"/>
    </xf>
    <xf numFmtId="0" fontId="37" fillId="0" borderId="62" xfId="0" applyFont="1" applyFill="1" applyBorder="1" applyAlignment="1">
      <alignment horizontal="center" vertical="center"/>
    </xf>
    <xf numFmtId="169" fontId="6" fillId="0" borderId="1" xfId="0" applyNumberFormat="1" applyFont="1" applyFill="1" applyBorder="1" applyAlignment="1" applyProtection="1">
      <alignment vertical="top"/>
      <protection hidden="1"/>
    </xf>
    <xf numFmtId="0" fontId="4" fillId="0" borderId="4" xfId="0" applyFont="1" applyFill="1" applyBorder="1" applyAlignment="1" applyProtection="1">
      <alignment horizontal="left" vertical="top" wrapText="1"/>
      <protection hidden="1"/>
    </xf>
    <xf numFmtId="169" fontId="4" fillId="0" borderId="49" xfId="0" applyNumberFormat="1" applyFont="1" applyFill="1" applyBorder="1" applyAlignment="1" applyProtection="1">
      <alignment horizontal="right" vertical="top"/>
      <protection hidden="1"/>
    </xf>
    <xf numFmtId="169" fontId="4" fillId="2" borderId="44" xfId="0" applyNumberFormat="1" applyFont="1" applyFill="1" applyBorder="1" applyAlignment="1" applyProtection="1">
      <alignment horizontal="right" vertical="top"/>
      <protection hidden="1"/>
    </xf>
    <xf numFmtId="169" fontId="10" fillId="5" borderId="51" xfId="0" applyNumberFormat="1" applyFont="1" applyFill="1" applyBorder="1" applyAlignment="1" applyProtection="1">
      <alignment horizontal="right" vertical="center"/>
      <protection hidden="1"/>
    </xf>
    <xf numFmtId="0" fontId="4" fillId="0" borderId="2" xfId="0" applyFont="1" applyFill="1" applyBorder="1" applyAlignment="1" applyProtection="1">
      <alignment horizontal="left" vertical="top" wrapText="1"/>
      <protection hidden="1"/>
    </xf>
    <xf numFmtId="0" fontId="6" fillId="2" borderId="43" xfId="0" quotePrefix="1" applyFont="1" applyFill="1" applyBorder="1" applyAlignment="1" applyProtection="1">
      <alignment horizontal="left"/>
      <protection hidden="1"/>
    </xf>
    <xf numFmtId="0" fontId="6" fillId="2" borderId="48" xfId="0" quotePrefix="1" applyFont="1" applyFill="1" applyBorder="1" applyAlignment="1" applyProtection="1">
      <alignment horizontal="center" vertical="center"/>
      <protection hidden="1"/>
    </xf>
    <xf numFmtId="0" fontId="28" fillId="2" borderId="20" xfId="0" applyFont="1" applyFill="1" applyBorder="1" applyAlignment="1" applyProtection="1">
      <alignment horizontal="left" vertical="top" wrapText="1"/>
      <protection hidden="1"/>
    </xf>
    <xf numFmtId="169" fontId="4" fillId="2" borderId="49" xfId="0" applyNumberFormat="1" applyFont="1" applyFill="1" applyBorder="1" applyAlignment="1" applyProtection="1">
      <alignment horizontal="right" vertical="top"/>
      <protection hidden="1"/>
    </xf>
    <xf numFmtId="0" fontId="26" fillId="3" borderId="54" xfId="0" applyFont="1" applyFill="1" applyBorder="1" applyAlignment="1">
      <alignment horizontal="left" wrapText="1"/>
    </xf>
    <xf numFmtId="0" fontId="41" fillId="8" borderId="21" xfId="0" applyFont="1" applyFill="1" applyBorder="1" applyAlignment="1" applyProtection="1">
      <alignment vertical="center"/>
      <protection hidden="1"/>
    </xf>
    <xf numFmtId="0" fontId="41" fillId="8" borderId="55" xfId="0" applyFont="1" applyFill="1" applyBorder="1" applyAlignment="1" applyProtection="1">
      <alignment vertical="center"/>
      <protection hidden="1"/>
    </xf>
    <xf numFmtId="0" fontId="27" fillId="0" borderId="4" xfId="0" applyNumberFormat="1" applyFont="1" applyFill="1" applyBorder="1" applyAlignment="1" applyProtection="1">
      <alignment horizontal="right"/>
      <protection hidden="1"/>
    </xf>
    <xf numFmtId="0" fontId="27" fillId="0" borderId="75" xfId="0" applyNumberFormat="1" applyFont="1" applyFill="1" applyBorder="1" applyAlignment="1" applyProtection="1">
      <alignment horizontal="right"/>
      <protection hidden="1"/>
    </xf>
    <xf numFmtId="0" fontId="27" fillId="0" borderId="22" xfId="0" applyNumberFormat="1" applyFont="1" applyFill="1" applyBorder="1" applyAlignment="1" applyProtection="1">
      <alignment horizontal="right"/>
      <protection hidden="1"/>
    </xf>
    <xf numFmtId="0" fontId="27" fillId="0" borderId="3" xfId="0" applyNumberFormat="1" applyFont="1" applyFill="1" applyBorder="1" applyAlignment="1" applyProtection="1">
      <alignment horizontal="right"/>
      <protection hidden="1"/>
    </xf>
    <xf numFmtId="169" fontId="27" fillId="3" borderId="3" xfId="0" applyNumberFormat="1" applyFont="1" applyFill="1" applyBorder="1" applyAlignment="1" applyProtection="1">
      <alignment horizontal="right"/>
      <protection hidden="1"/>
    </xf>
    <xf numFmtId="169" fontId="27" fillId="3" borderId="20" xfId="0" applyNumberFormat="1" applyFont="1" applyFill="1" applyBorder="1" applyAlignment="1" applyProtection="1">
      <alignment horizontal="right"/>
      <protection hidden="1"/>
    </xf>
    <xf numFmtId="169" fontId="27" fillId="3" borderId="1" xfId="0" applyNumberFormat="1" applyFont="1" applyFill="1" applyBorder="1" applyAlignment="1" applyProtection="1">
      <alignment horizontal="right"/>
      <protection hidden="1"/>
    </xf>
    <xf numFmtId="0" fontId="26" fillId="6" borderId="84" xfId="0" applyFont="1" applyFill="1" applyBorder="1" applyAlignment="1">
      <alignment horizontal="left"/>
    </xf>
    <xf numFmtId="0" fontId="26" fillId="3" borderId="39" xfId="0" applyFont="1" applyFill="1" applyBorder="1" applyAlignment="1">
      <alignment horizontal="left"/>
    </xf>
    <xf numFmtId="0" fontId="26" fillId="6" borderId="41" xfId="0" applyFont="1" applyFill="1" applyBorder="1" applyAlignment="1">
      <alignment horizontal="left"/>
    </xf>
    <xf numFmtId="164" fontId="4" fillId="0" borderId="86" xfId="0" applyNumberFormat="1" applyFont="1" applyFill="1" applyBorder="1" applyAlignment="1" applyProtection="1">
      <alignment vertical="top"/>
      <protection hidden="1"/>
    </xf>
    <xf numFmtId="164" fontId="4" fillId="0" borderId="67" xfId="0" applyNumberFormat="1" applyFont="1" applyFill="1" applyBorder="1" applyAlignment="1" applyProtection="1">
      <alignment vertical="top"/>
      <protection hidden="1"/>
    </xf>
    <xf numFmtId="164" fontId="4" fillId="0" borderId="68" xfId="0" applyNumberFormat="1" applyFont="1" applyFill="1" applyBorder="1" applyAlignment="1" applyProtection="1">
      <alignment vertical="top"/>
      <protection hidden="1"/>
    </xf>
    <xf numFmtId="164" fontId="4" fillId="14" borderId="67" xfId="0" applyNumberFormat="1" applyFont="1" applyFill="1" applyBorder="1" applyProtection="1">
      <protection hidden="1"/>
    </xf>
    <xf numFmtId="164" fontId="28" fillId="0" borderId="67" xfId="0" applyNumberFormat="1" applyFont="1" applyFill="1" applyBorder="1"/>
    <xf numFmtId="164" fontId="26" fillId="0" borderId="68" xfId="0" applyNumberFormat="1" applyFont="1" applyFill="1" applyBorder="1"/>
    <xf numFmtId="164" fontId="27" fillId="14" borderId="68" xfId="0" applyNumberFormat="1" applyFont="1" applyFill="1" applyBorder="1" applyAlignment="1" applyProtection="1">
      <alignment vertical="top"/>
      <protection hidden="1"/>
    </xf>
    <xf numFmtId="0" fontId="0" fillId="0" borderId="3" xfId="0" applyFill="1" applyBorder="1" applyAlignment="1">
      <alignment wrapText="1"/>
    </xf>
    <xf numFmtId="0" fontId="0" fillId="0" borderId="87" xfId="0" applyFill="1" applyBorder="1" applyAlignment="1">
      <alignment wrapText="1"/>
    </xf>
    <xf numFmtId="0" fontId="0" fillId="0" borderId="82" xfId="0" applyBorder="1" applyAlignment="1">
      <alignment wrapText="1"/>
    </xf>
    <xf numFmtId="169" fontId="4" fillId="2" borderId="1" xfId="0" applyNumberFormat="1" applyFont="1" applyFill="1" applyBorder="1" applyAlignment="1" applyProtection="1">
      <alignment horizontal="right" vertical="top"/>
      <protection hidden="1"/>
    </xf>
    <xf numFmtId="169" fontId="6" fillId="0" borderId="75" xfId="0" applyNumberFormat="1" applyFont="1" applyFill="1" applyBorder="1" applyProtection="1">
      <protection hidden="1"/>
    </xf>
    <xf numFmtId="0" fontId="0" fillId="0" borderId="1" xfId="0" applyFill="1" applyBorder="1"/>
    <xf numFmtId="169" fontId="4" fillId="2" borderId="1" xfId="0" applyNumberFormat="1" applyFont="1" applyFill="1" applyBorder="1" applyProtection="1">
      <protection hidden="1"/>
    </xf>
    <xf numFmtId="169" fontId="0" fillId="9" borderId="1" xfId="3" applyNumberFormat="1" applyFont="1" applyFill="1" applyBorder="1"/>
    <xf numFmtId="169" fontId="0" fillId="9" borderId="91" xfId="3" applyNumberFormat="1" applyFont="1" applyFill="1" applyBorder="1"/>
    <xf numFmtId="169" fontId="0" fillId="9" borderId="66" xfId="3" applyNumberFormat="1" applyFont="1" applyFill="1" applyBorder="1"/>
    <xf numFmtId="165" fontId="0" fillId="9" borderId="92" xfId="2" applyNumberFormat="1" applyFont="1" applyFill="1" applyBorder="1" applyAlignment="1">
      <alignment wrapText="1"/>
    </xf>
    <xf numFmtId="165" fontId="0" fillId="9" borderId="1" xfId="2" applyNumberFormat="1" applyFont="1" applyFill="1" applyBorder="1"/>
    <xf numFmtId="169" fontId="0" fillId="9" borderId="1" xfId="0" applyNumberFormat="1" applyFill="1" applyBorder="1"/>
    <xf numFmtId="0" fontId="4" fillId="2" borderId="0" xfId="0" applyFont="1" applyFill="1" applyBorder="1" applyAlignment="1" applyProtection="1">
      <alignment vertical="center" wrapText="1"/>
      <protection hidden="1"/>
    </xf>
    <xf numFmtId="0" fontId="4" fillId="2" borderId="0" xfId="0" applyFont="1" applyFill="1" applyBorder="1" applyAlignment="1" applyProtection="1">
      <alignment horizontal="left" vertical="top" wrapText="1"/>
      <protection hidden="1"/>
    </xf>
    <xf numFmtId="0" fontId="4" fillId="2" borderId="0" xfId="0" applyFont="1" applyFill="1" applyBorder="1" applyAlignment="1" applyProtection="1">
      <alignment horizontal="left" wrapText="1"/>
      <protection hidden="1"/>
    </xf>
    <xf numFmtId="0" fontId="13" fillId="2" borderId="0" xfId="0" applyFont="1" applyFill="1" applyProtection="1">
      <protection hidden="1"/>
    </xf>
    <xf numFmtId="0" fontId="0" fillId="2" borderId="0" xfId="0" applyFill="1" applyProtection="1">
      <protection hidden="1"/>
    </xf>
    <xf numFmtId="0" fontId="0" fillId="0" borderId="0" xfId="0" applyProtection="1">
      <protection hidden="1"/>
    </xf>
    <xf numFmtId="0" fontId="13" fillId="2" borderId="0" xfId="0" applyFont="1" applyFill="1" applyAlignment="1" applyProtection="1">
      <alignment vertical="center"/>
      <protection hidden="1"/>
    </xf>
    <xf numFmtId="0" fontId="12" fillId="2" borderId="0" xfId="0" applyFont="1" applyFill="1" applyAlignment="1" applyProtection="1">
      <alignment vertical="center" wrapText="1"/>
      <protection hidden="1"/>
    </xf>
    <xf numFmtId="0" fontId="9" fillId="2" borderId="0" xfId="0" applyFont="1" applyFill="1" applyAlignment="1" applyProtection="1">
      <alignment vertical="center" wrapText="1"/>
      <protection hidden="1"/>
    </xf>
    <xf numFmtId="0" fontId="8" fillId="2" borderId="0" xfId="0" applyFont="1" applyFill="1" applyBorder="1" applyAlignment="1" applyProtection="1">
      <alignment vertical="top"/>
      <protection hidden="1"/>
    </xf>
    <xf numFmtId="0" fontId="8" fillId="2" borderId="0" xfId="0" applyFont="1" applyFill="1" applyBorder="1" applyAlignment="1" applyProtection="1">
      <alignment horizontal="left" vertical="top"/>
      <protection hidden="1"/>
    </xf>
    <xf numFmtId="0" fontId="0" fillId="3" borderId="5" xfId="0" applyFill="1" applyBorder="1" applyAlignment="1" applyProtection="1">
      <alignment horizontal="right"/>
      <protection hidden="1"/>
    </xf>
    <xf numFmtId="169" fontId="4" fillId="3" borderId="5" xfId="0" applyNumberFormat="1" applyFont="1" applyFill="1" applyBorder="1" applyProtection="1">
      <protection locked="0" hidden="1"/>
    </xf>
    <xf numFmtId="164" fontId="0" fillId="2" borderId="0" xfId="0" applyNumberFormat="1" applyFill="1" applyProtection="1">
      <protection hidden="1"/>
    </xf>
    <xf numFmtId="167" fontId="4" fillId="3" borderId="5" xfId="0" applyNumberFormat="1" applyFont="1" applyFill="1" applyBorder="1" applyProtection="1">
      <protection locked="0" hidden="1"/>
    </xf>
    <xf numFmtId="0" fontId="0" fillId="2" borderId="0" xfId="0" quotePrefix="1" applyFill="1" applyProtection="1">
      <protection hidden="1"/>
    </xf>
    <xf numFmtId="0" fontId="8" fillId="2" borderId="6" xfId="0" applyFont="1" applyFill="1" applyBorder="1" applyAlignment="1" applyProtection="1">
      <alignment horizontal="center" vertical="center"/>
      <protection hidden="1"/>
    </xf>
    <xf numFmtId="0" fontId="8" fillId="2" borderId="5" xfId="0" applyFont="1" applyFill="1" applyBorder="1" applyAlignment="1" applyProtection="1">
      <alignment horizontal="center" vertical="center"/>
      <protection hidden="1"/>
    </xf>
    <xf numFmtId="0" fontId="26" fillId="6" borderId="6" xfId="0" applyFont="1" applyFill="1" applyBorder="1" applyAlignment="1" applyProtection="1">
      <alignment horizontal="center" vertical="center"/>
      <protection hidden="1"/>
    </xf>
    <xf numFmtId="165" fontId="0" fillId="6" borderId="80" xfId="0" applyNumberFormat="1" applyFont="1" applyFill="1" applyBorder="1" applyProtection="1">
      <protection hidden="1"/>
    </xf>
    <xf numFmtId="165" fontId="0" fillId="6" borderId="25" xfId="0" applyNumberFormat="1" applyFont="1" applyFill="1" applyBorder="1" applyProtection="1">
      <protection hidden="1"/>
    </xf>
    <xf numFmtId="165" fontId="0" fillId="6" borderId="6" xfId="0" applyNumberFormat="1" applyFont="1" applyFill="1" applyBorder="1" applyProtection="1">
      <protection hidden="1"/>
    </xf>
    <xf numFmtId="165" fontId="0" fillId="6" borderId="5" xfId="0" applyNumberFormat="1" applyFont="1" applyFill="1" applyBorder="1" applyProtection="1">
      <protection hidden="1"/>
    </xf>
    <xf numFmtId="0" fontId="0" fillId="6" borderId="6" xfId="0" applyFont="1" applyFill="1" applyBorder="1" applyAlignment="1" applyProtection="1">
      <alignment horizontal="center" vertical="center"/>
      <protection hidden="1"/>
    </xf>
    <xf numFmtId="0" fontId="0" fillId="6" borderId="42" xfId="0" applyFont="1" applyFill="1" applyBorder="1" applyAlignment="1" applyProtection="1">
      <alignment horizontal="center" vertical="center"/>
      <protection hidden="1"/>
    </xf>
    <xf numFmtId="9" fontId="28" fillId="6" borderId="1" xfId="1" applyFont="1" applyFill="1" applyBorder="1" applyAlignment="1" applyProtection="1">
      <alignment horizontal="center" vertical="center"/>
      <protection hidden="1"/>
    </xf>
    <xf numFmtId="0" fontId="26" fillId="2" borderId="0" xfId="0" applyFont="1" applyFill="1" applyBorder="1" applyAlignment="1" applyProtection="1">
      <alignment horizontal="left" wrapText="1"/>
      <protection hidden="1"/>
    </xf>
    <xf numFmtId="165" fontId="0" fillId="6" borderId="6" xfId="0" applyNumberFormat="1" applyFont="1" applyFill="1" applyBorder="1" applyAlignment="1" applyProtection="1">
      <alignment horizontal="center"/>
      <protection hidden="1"/>
    </xf>
    <xf numFmtId="0" fontId="0" fillId="0" borderId="5"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protection hidden="1"/>
    </xf>
    <xf numFmtId="0" fontId="8" fillId="2" borderId="34" xfId="0" applyFont="1" applyFill="1" applyBorder="1" applyAlignment="1" applyProtection="1">
      <alignment horizontal="center" vertical="center"/>
      <protection hidden="1"/>
    </xf>
    <xf numFmtId="0" fontId="8" fillId="2" borderId="36" xfId="0" applyFont="1" applyFill="1" applyBorder="1" applyAlignment="1" applyProtection="1">
      <alignment horizontal="center" vertical="center"/>
      <protection hidden="1"/>
    </xf>
    <xf numFmtId="0" fontId="8" fillId="2" borderId="37" xfId="0" applyFont="1" applyFill="1" applyBorder="1" applyAlignment="1" applyProtection="1">
      <alignment horizontal="center" vertical="center"/>
      <protection hidden="1"/>
    </xf>
    <xf numFmtId="0" fontId="8" fillId="2" borderId="27" xfId="0" applyFont="1" applyFill="1" applyBorder="1" applyAlignment="1" applyProtection="1">
      <alignment horizontal="center" vertical="center"/>
      <protection hidden="1"/>
    </xf>
    <xf numFmtId="0" fontId="8" fillId="2" borderId="28" xfId="0" applyFont="1" applyFill="1" applyBorder="1" applyAlignment="1" applyProtection="1">
      <alignment horizontal="center" vertical="center"/>
      <protection hidden="1"/>
    </xf>
    <xf numFmtId="0" fontId="8" fillId="2" borderId="28" xfId="0" applyFont="1" applyFill="1" applyBorder="1" applyAlignment="1" applyProtection="1">
      <alignment horizontal="center" vertical="center" wrapText="1"/>
      <protection hidden="1"/>
    </xf>
    <xf numFmtId="0" fontId="8" fillId="2" borderId="29" xfId="0" applyFont="1" applyFill="1" applyBorder="1" applyAlignment="1" applyProtection="1">
      <alignment horizontal="center" vertical="center"/>
      <protection hidden="1"/>
    </xf>
    <xf numFmtId="0" fontId="26" fillId="7" borderId="33" xfId="0" applyFont="1" applyFill="1" applyBorder="1" applyProtection="1">
      <protection hidden="1"/>
    </xf>
    <xf numFmtId="165" fontId="26" fillId="5" borderId="9" xfId="0" applyNumberFormat="1" applyFont="1" applyFill="1" applyBorder="1" applyProtection="1">
      <protection hidden="1"/>
    </xf>
    <xf numFmtId="165" fontId="26" fillId="5" borderId="38" xfId="0" applyNumberFormat="1" applyFont="1" applyFill="1" applyBorder="1" applyProtection="1">
      <protection hidden="1"/>
    </xf>
    <xf numFmtId="165" fontId="26" fillId="5" borderId="10" xfId="0" applyNumberFormat="1" applyFont="1" applyFill="1" applyBorder="1" applyProtection="1">
      <protection hidden="1"/>
    </xf>
    <xf numFmtId="165" fontId="26" fillId="7" borderId="11" xfId="0" applyNumberFormat="1" applyFont="1" applyFill="1" applyBorder="1" applyProtection="1">
      <protection hidden="1"/>
    </xf>
    <xf numFmtId="165" fontId="26" fillId="7" borderId="24" xfId="0" applyNumberFormat="1" applyFont="1" applyFill="1" applyBorder="1" applyProtection="1">
      <protection hidden="1"/>
    </xf>
    <xf numFmtId="165" fontId="26" fillId="5" borderId="25" xfId="0" applyNumberFormat="1" applyFont="1" applyFill="1" applyBorder="1" applyProtection="1">
      <protection hidden="1"/>
    </xf>
    <xf numFmtId="165" fontId="26" fillId="7" borderId="26" xfId="0" applyNumberFormat="1" applyFont="1" applyFill="1" applyBorder="1" applyProtection="1">
      <protection hidden="1"/>
    </xf>
    <xf numFmtId="165" fontId="30" fillId="7" borderId="18" xfId="0" applyNumberFormat="1" applyFont="1" applyFill="1" applyBorder="1" applyProtection="1">
      <protection hidden="1"/>
    </xf>
    <xf numFmtId="0" fontId="26" fillId="4" borderId="19" xfId="0" applyFont="1" applyFill="1" applyBorder="1" applyProtection="1">
      <protection hidden="1"/>
    </xf>
    <xf numFmtId="165" fontId="26" fillId="0" borderId="58" xfId="0" applyNumberFormat="1" applyFont="1" applyFill="1" applyBorder="1" applyProtection="1">
      <protection hidden="1"/>
    </xf>
    <xf numFmtId="165" fontId="26" fillId="0" borderId="5" xfId="0" applyNumberFormat="1" applyFont="1" applyFill="1" applyBorder="1" applyAlignment="1" applyProtection="1">
      <alignment horizontal="right"/>
      <protection hidden="1"/>
    </xf>
    <xf numFmtId="165" fontId="26" fillId="4" borderId="13" xfId="0" applyNumberFormat="1" applyFont="1" applyFill="1" applyBorder="1" applyAlignment="1" applyProtection="1">
      <alignment horizontal="right"/>
      <protection hidden="1"/>
    </xf>
    <xf numFmtId="165" fontId="26" fillId="0" borderId="12" xfId="0" applyNumberFormat="1" applyFont="1" applyFill="1" applyBorder="1" applyAlignment="1" applyProtection="1">
      <alignment horizontal="right"/>
      <protection hidden="1"/>
    </xf>
    <xf numFmtId="165" fontId="26" fillId="0" borderId="73" xfId="0" applyNumberFormat="1" applyFont="1" applyFill="1" applyBorder="1" applyAlignment="1" applyProtection="1">
      <alignment horizontal="right"/>
      <protection hidden="1"/>
    </xf>
    <xf numFmtId="165" fontId="26" fillId="0" borderId="74" xfId="0" applyNumberFormat="1" applyFont="1" applyFill="1" applyBorder="1" applyProtection="1">
      <protection hidden="1"/>
    </xf>
    <xf numFmtId="165" fontId="30" fillId="4" borderId="7" xfId="0" applyNumberFormat="1" applyFont="1" applyFill="1" applyBorder="1" applyAlignment="1" applyProtection="1">
      <alignment horizontal="right"/>
      <protection hidden="1"/>
    </xf>
    <xf numFmtId="0" fontId="26" fillId="7" borderId="19" xfId="0" applyFont="1" applyFill="1" applyBorder="1" applyProtection="1">
      <protection hidden="1"/>
    </xf>
    <xf numFmtId="165" fontId="26" fillId="7" borderId="12" xfId="0" applyNumberFormat="1" applyFont="1" applyFill="1" applyBorder="1" applyProtection="1">
      <protection hidden="1"/>
    </xf>
    <xf numFmtId="165" fontId="26" fillId="7" borderId="5" xfId="0" applyNumberFormat="1" applyFont="1" applyFill="1" applyBorder="1" applyProtection="1">
      <protection hidden="1"/>
    </xf>
    <xf numFmtId="165" fontId="26" fillId="7" borderId="13" xfId="0" applyNumberFormat="1" applyFont="1" applyFill="1" applyBorder="1" applyProtection="1">
      <protection hidden="1"/>
    </xf>
    <xf numFmtId="165" fontId="30" fillId="7" borderId="7" xfId="0" applyNumberFormat="1" applyFont="1" applyFill="1" applyBorder="1" applyProtection="1">
      <protection hidden="1"/>
    </xf>
    <xf numFmtId="165" fontId="26" fillId="2" borderId="5" xfId="0" applyNumberFormat="1" applyFont="1" applyFill="1" applyBorder="1" applyProtection="1">
      <protection hidden="1"/>
    </xf>
    <xf numFmtId="165" fontId="26" fillId="4" borderId="13" xfId="0" applyNumberFormat="1" applyFont="1" applyFill="1" applyBorder="1" applyProtection="1">
      <protection hidden="1"/>
    </xf>
    <xf numFmtId="165" fontId="26" fillId="2" borderId="12" xfId="0" applyNumberFormat="1" applyFont="1" applyFill="1" applyBorder="1" applyProtection="1">
      <protection hidden="1"/>
    </xf>
    <xf numFmtId="165" fontId="30" fillId="4" borderId="7" xfId="0" applyNumberFormat="1" applyFont="1" applyFill="1" applyBorder="1" applyProtection="1">
      <protection hidden="1"/>
    </xf>
    <xf numFmtId="165" fontId="26" fillId="7" borderId="73" xfId="0" applyNumberFormat="1" applyFont="1" applyFill="1" applyBorder="1" applyProtection="1">
      <protection hidden="1"/>
    </xf>
    <xf numFmtId="165" fontId="26" fillId="7" borderId="76" xfId="0" applyNumberFormat="1" applyFont="1" applyFill="1" applyBorder="1" applyProtection="1">
      <protection hidden="1"/>
    </xf>
    <xf numFmtId="0" fontId="26" fillId="0" borderId="35" xfId="0" applyFont="1" applyFill="1" applyBorder="1" applyProtection="1">
      <protection hidden="1"/>
    </xf>
    <xf numFmtId="165" fontId="26" fillId="0" borderId="14" xfId="0" applyNumberFormat="1" applyFont="1" applyFill="1" applyBorder="1" applyProtection="1">
      <protection hidden="1"/>
    </xf>
    <xf numFmtId="165" fontId="26" fillId="0" borderId="15" xfId="0" applyNumberFormat="1" applyFont="1" applyFill="1" applyBorder="1" applyProtection="1">
      <protection hidden="1"/>
    </xf>
    <xf numFmtId="165" fontId="26" fillId="0" borderId="16" xfId="0" applyNumberFormat="1" applyFont="1" applyFill="1" applyBorder="1" applyProtection="1">
      <protection hidden="1"/>
    </xf>
    <xf numFmtId="165" fontId="30" fillId="0" borderId="8" xfId="0" applyNumberFormat="1" applyFont="1" applyFill="1" applyBorder="1" applyProtection="1">
      <protection hidden="1"/>
    </xf>
    <xf numFmtId="0" fontId="28" fillId="2" borderId="0" xfId="0" applyFont="1" applyFill="1" applyAlignment="1" applyProtection="1">
      <alignment wrapText="1"/>
      <protection hidden="1"/>
    </xf>
    <xf numFmtId="0" fontId="28" fillId="2" borderId="0" xfId="0" applyFont="1" applyFill="1" applyAlignment="1" applyProtection="1">
      <alignment vertical="top" wrapText="1"/>
      <protection hidden="1"/>
    </xf>
    <xf numFmtId="0" fontId="28" fillId="2" borderId="0" xfId="0" applyFont="1" applyFill="1" applyAlignment="1" applyProtection="1">
      <alignment vertical="center" wrapText="1"/>
      <protection hidden="1"/>
    </xf>
    <xf numFmtId="0" fontId="28" fillId="2" borderId="0" xfId="0" applyFont="1" applyFill="1" applyAlignment="1" applyProtection="1">
      <alignment vertical="center"/>
      <protection hidden="1"/>
    </xf>
    <xf numFmtId="0" fontId="26" fillId="2" borderId="0" xfId="0" applyFont="1" applyFill="1" applyAlignment="1" applyProtection="1">
      <alignment vertical="center" wrapText="1"/>
      <protection hidden="1"/>
    </xf>
    <xf numFmtId="0" fontId="2" fillId="2" borderId="0" xfId="0" applyFont="1" applyFill="1" applyAlignment="1" applyProtection="1">
      <alignment wrapText="1"/>
      <protection hidden="1"/>
    </xf>
    <xf numFmtId="0" fontId="0" fillId="2" borderId="0" xfId="0" applyFont="1" applyFill="1" applyAlignment="1" applyProtection="1">
      <alignment vertical="top" wrapText="1"/>
      <protection hidden="1"/>
    </xf>
    <xf numFmtId="0" fontId="28" fillId="2" borderId="0" xfId="0" quotePrefix="1" applyFont="1" applyFill="1" applyAlignment="1" applyProtection="1">
      <alignment vertical="top" wrapText="1"/>
      <protection hidden="1"/>
    </xf>
    <xf numFmtId="0" fontId="34" fillId="2" borderId="0" xfId="0" applyFont="1" applyFill="1" applyAlignment="1" applyProtection="1">
      <alignment wrapText="1"/>
      <protection hidden="1"/>
    </xf>
    <xf numFmtId="0" fontId="34" fillId="2" borderId="0" xfId="0" applyFont="1" applyFill="1" applyAlignment="1" applyProtection="1">
      <alignment vertical="center" wrapText="1"/>
      <protection hidden="1"/>
    </xf>
    <xf numFmtId="3" fontId="4" fillId="2" borderId="44" xfId="0" applyNumberFormat="1" applyFont="1" applyFill="1" applyBorder="1" applyProtection="1">
      <protection locked="0" hidden="1"/>
    </xf>
    <xf numFmtId="169" fontId="4" fillId="2" borderId="44" xfId="0" applyNumberFormat="1" applyFont="1" applyFill="1" applyBorder="1" applyProtection="1">
      <protection locked="0" hidden="1"/>
    </xf>
    <xf numFmtId="169" fontId="4" fillId="3" borderId="44" xfId="0" applyNumberFormat="1" applyFont="1" applyFill="1" applyBorder="1" applyProtection="1">
      <protection locked="0" hidden="1"/>
    </xf>
    <xf numFmtId="169" fontId="4" fillId="0" borderId="44" xfId="0" applyNumberFormat="1" applyFont="1" applyFill="1" applyBorder="1" applyProtection="1">
      <protection locked="0" hidden="1"/>
    </xf>
    <xf numFmtId="0" fontId="0" fillId="0" borderId="3" xfId="0" applyFont="1" applyBorder="1" applyAlignment="1" applyProtection="1">
      <alignment wrapText="1"/>
      <protection hidden="1"/>
    </xf>
    <xf numFmtId="0" fontId="26" fillId="0" borderId="3" xfId="0" applyFont="1" applyBorder="1" applyAlignment="1" applyProtection="1">
      <alignment vertical="top"/>
      <protection hidden="1"/>
    </xf>
    <xf numFmtId="167" fontId="4" fillId="2" borderId="49" xfId="1" applyNumberFormat="1" applyFont="1" applyFill="1" applyBorder="1" applyProtection="1">
      <protection locked="0" hidden="1"/>
    </xf>
    <xf numFmtId="0" fontId="0" fillId="0" borderId="0" xfId="0" applyFill="1" applyProtection="1">
      <protection hidden="1"/>
    </xf>
    <xf numFmtId="168" fontId="0" fillId="0" borderId="0" xfId="3" applyNumberFormat="1" applyFont="1" applyFill="1" applyProtection="1">
      <protection hidden="1"/>
    </xf>
    <xf numFmtId="168" fontId="0" fillId="0" borderId="0" xfId="0" applyNumberFormat="1" applyFill="1" applyProtection="1">
      <protection hidden="1"/>
    </xf>
    <xf numFmtId="164" fontId="13" fillId="2" borderId="0" xfId="0" applyNumberFormat="1" applyFont="1" applyFill="1" applyProtection="1">
      <protection hidden="1"/>
    </xf>
    <xf numFmtId="0" fontId="13" fillId="0" borderId="0" xfId="0" applyFont="1" applyFill="1" applyProtection="1">
      <protection hidden="1"/>
    </xf>
    <xf numFmtId="168" fontId="13" fillId="0" borderId="0" xfId="0" applyNumberFormat="1" applyFont="1" applyFill="1" applyProtection="1">
      <protection hidden="1"/>
    </xf>
    <xf numFmtId="0" fontId="13" fillId="0" borderId="0" xfId="0" applyFont="1" applyProtection="1">
      <protection hidden="1"/>
    </xf>
    <xf numFmtId="164" fontId="0" fillId="0" borderId="0" xfId="0" applyNumberFormat="1" applyFill="1" applyProtection="1">
      <protection hidden="1"/>
    </xf>
    <xf numFmtId="169" fontId="4" fillId="2" borderId="47" xfId="0" applyNumberFormat="1" applyFont="1" applyFill="1" applyBorder="1" applyProtection="1">
      <protection locked="0" hidden="1"/>
    </xf>
    <xf numFmtId="9" fontId="4" fillId="2" borderId="49" xfId="1" applyFont="1" applyFill="1" applyBorder="1" applyProtection="1">
      <protection locked="0" hidden="1"/>
    </xf>
    <xf numFmtId="164" fontId="0" fillId="0" borderId="0" xfId="0" applyNumberFormat="1" applyProtection="1">
      <protection hidden="1"/>
    </xf>
    <xf numFmtId="0" fontId="4" fillId="2" borderId="43" xfId="0" quotePrefix="1" applyFont="1" applyFill="1" applyBorder="1" applyAlignment="1" applyProtection="1">
      <alignment horizontal="center"/>
      <protection hidden="1"/>
    </xf>
    <xf numFmtId="0" fontId="4" fillId="0" borderId="0" xfId="0" applyFont="1" applyFill="1" applyBorder="1" applyAlignment="1" applyProtection="1">
      <alignment vertical="center" wrapText="1"/>
      <protection hidden="1"/>
    </xf>
    <xf numFmtId="0" fontId="4" fillId="2" borderId="0" xfId="0" applyFont="1" applyFill="1" applyBorder="1" applyAlignment="1" applyProtection="1">
      <alignment vertical="center" wrapText="1"/>
      <protection hidden="1"/>
    </xf>
    <xf numFmtId="0" fontId="28" fillId="2" borderId="0" xfId="0" applyFont="1" applyFill="1" applyAlignment="1" applyProtection="1">
      <alignment wrapText="1"/>
      <protection hidden="1"/>
    </xf>
    <xf numFmtId="0" fontId="28" fillId="2" borderId="0" xfId="0" quotePrefix="1" applyFont="1" applyFill="1" applyAlignment="1" applyProtection="1">
      <alignment horizontal="left" vertical="top" wrapText="1" indent="2"/>
      <protection hidden="1"/>
    </xf>
    <xf numFmtId="0" fontId="28" fillId="2" borderId="0" xfId="0" applyFont="1" applyFill="1" applyAlignment="1" applyProtection="1">
      <alignment vertical="center" wrapText="1"/>
      <protection hidden="1"/>
    </xf>
    <xf numFmtId="0" fontId="8" fillId="2" borderId="17" xfId="0" applyFont="1" applyFill="1" applyBorder="1" applyAlignment="1" applyProtection="1">
      <alignment horizontal="center" vertical="center"/>
      <protection hidden="1"/>
    </xf>
    <xf numFmtId="0" fontId="8" fillId="2" borderId="23" xfId="0" applyFont="1" applyFill="1" applyBorder="1" applyAlignment="1" applyProtection="1">
      <alignment horizontal="center" vertical="center"/>
      <protection hidden="1"/>
    </xf>
    <xf numFmtId="0" fontId="0" fillId="2" borderId="17" xfId="0" applyFill="1" applyBorder="1" applyAlignment="1" applyProtection="1">
      <alignment horizontal="center"/>
      <protection hidden="1"/>
    </xf>
    <xf numFmtId="0" fontId="0" fillId="2" borderId="23" xfId="0" applyFill="1" applyBorder="1" applyAlignment="1" applyProtection="1">
      <alignment horizontal="center"/>
      <protection hidden="1"/>
    </xf>
    <xf numFmtId="0" fontId="0" fillId="2" borderId="39" xfId="0" applyFont="1" applyFill="1" applyBorder="1" applyAlignment="1" applyProtection="1">
      <alignment horizontal="left" wrapText="1"/>
      <protection hidden="1"/>
    </xf>
    <xf numFmtId="0" fontId="0" fillId="2" borderId="40" xfId="0" applyFont="1" applyFill="1" applyBorder="1" applyAlignment="1" applyProtection="1">
      <alignment horizontal="left" wrapText="1"/>
      <protection hidden="1"/>
    </xf>
    <xf numFmtId="0" fontId="0" fillId="2" borderId="6" xfId="0" applyFont="1" applyFill="1" applyBorder="1" applyAlignment="1" applyProtection="1">
      <alignment horizontal="left" wrapText="1"/>
      <protection hidden="1"/>
    </xf>
    <xf numFmtId="0" fontId="0" fillId="4" borderId="5" xfId="0" applyFont="1" applyFill="1" applyBorder="1" applyAlignment="1" applyProtection="1">
      <alignment horizontal="left"/>
      <protection hidden="1"/>
    </xf>
    <xf numFmtId="0" fontId="0" fillId="2" borderId="5" xfId="0" applyFont="1" applyFill="1" applyBorder="1" applyAlignment="1" applyProtection="1">
      <alignment horizontal="left"/>
      <protection hidden="1"/>
    </xf>
    <xf numFmtId="0" fontId="26" fillId="4" borderId="39" xfId="0" applyFont="1" applyFill="1" applyBorder="1" applyAlignment="1" applyProtection="1">
      <alignment horizontal="left" vertical="center" wrapText="1"/>
      <protection hidden="1"/>
    </xf>
    <xf numFmtId="0" fontId="26" fillId="4" borderId="40" xfId="0" applyFont="1" applyFill="1" applyBorder="1" applyAlignment="1" applyProtection="1">
      <alignment horizontal="left" vertical="center" wrapText="1"/>
      <protection hidden="1"/>
    </xf>
    <xf numFmtId="0" fontId="26" fillId="4" borderId="6" xfId="0" applyFont="1" applyFill="1" applyBorder="1" applyAlignment="1" applyProtection="1">
      <alignment horizontal="left" vertical="center" wrapText="1"/>
      <protection hidden="1"/>
    </xf>
    <xf numFmtId="0" fontId="32" fillId="10" borderId="0" xfId="0" applyFont="1" applyFill="1" applyBorder="1" applyAlignment="1" applyProtection="1">
      <alignment horizontal="center" vertical="center"/>
      <protection hidden="1"/>
    </xf>
    <xf numFmtId="0" fontId="12" fillId="2" borderId="0" xfId="0" applyFont="1" applyFill="1" applyBorder="1" applyAlignment="1" applyProtection="1">
      <alignment horizontal="left" vertical="top"/>
      <protection hidden="1"/>
    </xf>
    <xf numFmtId="0" fontId="0" fillId="2" borderId="5" xfId="0" applyFont="1" applyFill="1" applyBorder="1" applyAlignment="1" applyProtection="1">
      <alignment horizontal="left" wrapText="1"/>
      <protection hidden="1"/>
    </xf>
    <xf numFmtId="0" fontId="28" fillId="2" borderId="54" xfId="0" applyFont="1" applyFill="1" applyBorder="1" applyAlignment="1" applyProtection="1">
      <alignment horizontal="left" wrapText="1"/>
      <protection hidden="1"/>
    </xf>
    <xf numFmtId="0" fontId="28" fillId="2" borderId="20" xfId="0" applyFont="1" applyFill="1" applyBorder="1" applyAlignment="1" applyProtection="1">
      <alignment horizontal="left" wrapText="1"/>
      <protection hidden="1"/>
    </xf>
    <xf numFmtId="0" fontId="28" fillId="2" borderId="3" xfId="0" applyFont="1" applyFill="1" applyBorder="1" applyAlignment="1" applyProtection="1">
      <alignment horizontal="left" wrapText="1"/>
      <protection hidden="1"/>
    </xf>
    <xf numFmtId="0" fontId="4" fillId="2" borderId="39" xfId="0" applyFont="1" applyFill="1" applyBorder="1" applyAlignment="1" applyProtection="1">
      <alignment horizontal="left" vertical="top"/>
      <protection hidden="1"/>
    </xf>
    <xf numFmtId="0" fontId="4" fillId="2" borderId="40" xfId="0" applyFont="1" applyFill="1" applyBorder="1" applyAlignment="1" applyProtection="1">
      <alignment horizontal="left" vertical="top"/>
      <protection hidden="1"/>
    </xf>
    <xf numFmtId="0" fontId="4" fillId="2" borderId="6" xfId="0" applyFont="1" applyFill="1" applyBorder="1" applyAlignment="1" applyProtection="1">
      <alignment horizontal="left" vertical="top"/>
      <protection hidden="1"/>
    </xf>
    <xf numFmtId="0" fontId="3" fillId="2" borderId="5" xfId="0" applyFont="1" applyFill="1" applyBorder="1" applyAlignment="1" applyProtection="1">
      <alignment horizontal="left" vertical="top"/>
      <protection hidden="1"/>
    </xf>
    <xf numFmtId="0" fontId="26" fillId="2" borderId="39" xfId="0" applyFont="1" applyFill="1" applyBorder="1" applyAlignment="1" applyProtection="1">
      <alignment horizontal="left" wrapText="1"/>
      <protection hidden="1"/>
    </xf>
    <xf numFmtId="0" fontId="26" fillId="2" borderId="40" xfId="0" applyFont="1" applyFill="1" applyBorder="1" applyAlignment="1" applyProtection="1">
      <alignment horizontal="left" wrapText="1"/>
      <protection hidden="1"/>
    </xf>
    <xf numFmtId="0" fontId="26" fillId="2" borderId="81" xfId="0" applyFont="1" applyFill="1" applyBorder="1" applyAlignment="1" applyProtection="1">
      <alignment horizontal="left" wrapText="1"/>
      <protection hidden="1"/>
    </xf>
    <xf numFmtId="0" fontId="4" fillId="2" borderId="5" xfId="0" applyFont="1" applyFill="1" applyBorder="1" applyAlignment="1" applyProtection="1">
      <alignment horizontal="left" vertical="top"/>
      <protection hidden="1"/>
    </xf>
    <xf numFmtId="165" fontId="26" fillId="0" borderId="35" xfId="0" applyNumberFormat="1" applyFont="1" applyFill="1" applyBorder="1" applyAlignment="1" applyProtection="1">
      <alignment horizontal="left" vertical="center" indent="4"/>
      <protection hidden="1"/>
    </xf>
    <xf numFmtId="165" fontId="26" fillId="0" borderId="59" xfId="0" applyNumberFormat="1" applyFont="1" applyFill="1" applyBorder="1" applyAlignment="1" applyProtection="1">
      <alignment horizontal="left" vertical="center" indent="4"/>
      <protection hidden="1"/>
    </xf>
    <xf numFmtId="165" fontId="26" fillId="0" borderId="60" xfId="0" applyNumberFormat="1" applyFont="1" applyFill="1" applyBorder="1" applyAlignment="1" applyProtection="1">
      <alignment horizontal="left" vertical="center" indent="4"/>
      <protection hidden="1"/>
    </xf>
    <xf numFmtId="0" fontId="4" fillId="2" borderId="5" xfId="0" applyFont="1" applyFill="1" applyBorder="1" applyAlignment="1" applyProtection="1">
      <alignment horizontal="left" vertical="top" wrapText="1"/>
      <protection hidden="1"/>
    </xf>
    <xf numFmtId="0" fontId="12" fillId="2" borderId="0" xfId="0" applyFont="1" applyFill="1" applyAlignment="1" applyProtection="1">
      <alignment horizontal="left" vertical="center" wrapText="1"/>
      <protection hidden="1"/>
    </xf>
    <xf numFmtId="0" fontId="28" fillId="2" borderId="0" xfId="0" applyFont="1" applyFill="1" applyAlignment="1" applyProtection="1">
      <alignment vertical="top" wrapText="1"/>
      <protection hidden="1"/>
    </xf>
    <xf numFmtId="165" fontId="26" fillId="2" borderId="19" xfId="0" applyNumberFormat="1" applyFont="1" applyFill="1" applyBorder="1" applyAlignment="1" applyProtection="1">
      <alignment horizontal="center"/>
      <protection hidden="1"/>
    </xf>
    <xf numFmtId="165" fontId="26" fillId="2" borderId="6" xfId="0" applyNumberFormat="1" applyFont="1" applyFill="1" applyBorder="1" applyAlignment="1" applyProtection="1">
      <alignment horizontal="center"/>
      <protection hidden="1"/>
    </xf>
    <xf numFmtId="0" fontId="8" fillId="2" borderId="30" xfId="0" applyFont="1" applyFill="1" applyBorder="1" applyAlignment="1" applyProtection="1">
      <alignment horizontal="center" vertical="center"/>
      <protection hidden="1"/>
    </xf>
    <xf numFmtId="0" fontId="8" fillId="2" borderId="31" xfId="0" applyFont="1" applyFill="1" applyBorder="1" applyAlignment="1" applyProtection="1">
      <alignment horizontal="center" vertical="center"/>
      <protection hidden="1"/>
    </xf>
    <xf numFmtId="0" fontId="8" fillId="2" borderId="32" xfId="0" applyFont="1" applyFill="1" applyBorder="1" applyAlignment="1" applyProtection="1">
      <alignment horizontal="center" vertical="center"/>
      <protection hidden="1"/>
    </xf>
    <xf numFmtId="0" fontId="8" fillId="2" borderId="0" xfId="0" applyFont="1" applyFill="1" applyBorder="1" applyAlignment="1" applyProtection="1">
      <alignment horizontal="left" vertical="top"/>
      <protection hidden="1"/>
    </xf>
    <xf numFmtId="0" fontId="5" fillId="3" borderId="0" xfId="0" applyFont="1" applyFill="1" applyBorder="1" applyAlignment="1" applyProtection="1">
      <alignment horizontal="center" vertical="center"/>
      <protection hidden="1"/>
    </xf>
    <xf numFmtId="0" fontId="8" fillId="2" borderId="53" xfId="0" applyFont="1" applyFill="1" applyBorder="1" applyAlignment="1" applyProtection="1">
      <alignment horizontal="left" vertical="top" wrapText="1"/>
      <protection hidden="1"/>
    </xf>
    <xf numFmtId="0" fontId="26" fillId="2" borderId="61" xfId="0" applyFont="1" applyFill="1" applyBorder="1" applyAlignment="1" applyProtection="1">
      <alignment horizontal="left" wrapText="1"/>
      <protection hidden="1"/>
    </xf>
    <xf numFmtId="165" fontId="26" fillId="7" borderId="19" xfId="0" applyNumberFormat="1" applyFont="1" applyFill="1" applyBorder="1" applyAlignment="1" applyProtection="1">
      <alignment horizontal="left" vertical="center" indent="4"/>
      <protection hidden="1"/>
    </xf>
    <xf numFmtId="165" fontId="26" fillId="7" borderId="40" xfId="0" applyNumberFormat="1" applyFont="1" applyFill="1" applyBorder="1" applyAlignment="1" applyProtection="1">
      <alignment horizontal="left" vertical="center" indent="4"/>
      <protection hidden="1"/>
    </xf>
    <xf numFmtId="165" fontId="26" fillId="7" borderId="6" xfId="0" applyNumberFormat="1" applyFont="1" applyFill="1" applyBorder="1" applyAlignment="1" applyProtection="1">
      <alignment horizontal="left" vertical="center" indent="4"/>
      <protection hidden="1"/>
    </xf>
    <xf numFmtId="0" fontId="0" fillId="0" borderId="5" xfId="0" applyBorder="1" applyAlignment="1" applyProtection="1">
      <alignment horizontal="left"/>
      <protection hidden="1"/>
    </xf>
    <xf numFmtId="0" fontId="28" fillId="2" borderId="0" xfId="0" applyFont="1" applyFill="1" applyAlignment="1" applyProtection="1">
      <alignment horizontal="left" vertical="center" wrapText="1"/>
      <protection hidden="1"/>
    </xf>
    <xf numFmtId="0" fontId="10" fillId="2" borderId="0" xfId="0" applyFont="1" applyFill="1" applyBorder="1" applyAlignment="1" applyProtection="1">
      <alignment horizontal="center" vertical="center" wrapText="1"/>
      <protection hidden="1"/>
    </xf>
    <xf numFmtId="0" fontId="28" fillId="2" borderId="0" xfId="0" quotePrefix="1" applyFont="1" applyFill="1" applyAlignment="1" applyProtection="1">
      <alignment vertical="top" wrapText="1"/>
      <protection hidden="1"/>
    </xf>
    <xf numFmtId="0" fontId="26" fillId="4" borderId="5" xfId="0" applyFont="1" applyFill="1" applyBorder="1" applyAlignment="1" applyProtection="1">
      <alignment horizontal="left"/>
      <protection hidden="1"/>
    </xf>
    <xf numFmtId="0" fontId="26" fillId="4" borderId="39" xfId="0" applyFont="1" applyFill="1" applyBorder="1" applyAlignment="1" applyProtection="1">
      <alignment horizontal="left" wrapText="1"/>
      <protection hidden="1"/>
    </xf>
    <xf numFmtId="0" fontId="26" fillId="4" borderId="40" xfId="0" applyFont="1" applyFill="1" applyBorder="1" applyAlignment="1" applyProtection="1">
      <alignment horizontal="left" wrapText="1"/>
      <protection hidden="1"/>
    </xf>
    <xf numFmtId="0" fontId="26" fillId="4" borderId="6" xfId="0" applyFont="1" applyFill="1" applyBorder="1" applyAlignment="1" applyProtection="1">
      <alignment horizontal="left" wrapText="1"/>
      <protection hidden="1"/>
    </xf>
    <xf numFmtId="0" fontId="4" fillId="2" borderId="39" xfId="0" applyFont="1" applyFill="1" applyBorder="1" applyAlignment="1" applyProtection="1">
      <alignment horizontal="left" vertical="top" wrapText="1"/>
      <protection hidden="1"/>
    </xf>
    <xf numFmtId="0" fontId="4" fillId="2" borderId="40" xfId="0" applyFont="1" applyFill="1" applyBorder="1" applyAlignment="1" applyProtection="1">
      <alignment horizontal="left" vertical="top" wrapText="1"/>
      <protection hidden="1"/>
    </xf>
    <xf numFmtId="0" fontId="4" fillId="2" borderId="6" xfId="0" applyFont="1" applyFill="1" applyBorder="1" applyAlignment="1" applyProtection="1">
      <alignment horizontal="left" vertical="top" wrapText="1"/>
      <protection hidden="1"/>
    </xf>
    <xf numFmtId="0" fontId="0" fillId="2" borderId="79" xfId="0" applyFill="1" applyBorder="1" applyAlignment="1" applyProtection="1">
      <alignment horizontal="left"/>
      <protection hidden="1"/>
    </xf>
    <xf numFmtId="0" fontId="26" fillId="2" borderId="6" xfId="0" applyFont="1" applyFill="1" applyBorder="1" applyAlignment="1" applyProtection="1">
      <alignment horizontal="left" wrapText="1"/>
      <protection hidden="1"/>
    </xf>
    <xf numFmtId="0" fontId="26" fillId="2" borderId="5" xfId="0" applyFont="1" applyFill="1" applyBorder="1" applyAlignment="1" applyProtection="1">
      <alignment horizontal="left"/>
      <protection hidden="1"/>
    </xf>
    <xf numFmtId="0" fontId="4" fillId="2" borderId="0" xfId="0" quotePrefix="1" applyFont="1" applyFill="1" applyBorder="1" applyAlignment="1" applyProtection="1">
      <alignment horizontal="left" vertical="top"/>
      <protection hidden="1"/>
    </xf>
    <xf numFmtId="0" fontId="6" fillId="2" borderId="0" xfId="0" quotePrefix="1" applyFont="1" applyFill="1" applyBorder="1" applyAlignment="1" applyProtection="1">
      <alignment horizontal="left" vertical="center" wrapText="1"/>
      <protection hidden="1"/>
    </xf>
    <xf numFmtId="0" fontId="4" fillId="2" borderId="0" xfId="0" quotePrefix="1" applyFont="1" applyFill="1" applyBorder="1" applyAlignment="1" applyProtection="1">
      <alignment horizontal="left" vertical="center" wrapText="1"/>
      <protection hidden="1"/>
    </xf>
    <xf numFmtId="0" fontId="8" fillId="2" borderId="43" xfId="0" applyFont="1" applyFill="1" applyBorder="1" applyAlignment="1" applyProtection="1">
      <alignment horizontal="left"/>
      <protection hidden="1"/>
    </xf>
    <xf numFmtId="0" fontId="8" fillId="2" borderId="20" xfId="0" applyFont="1" applyFill="1" applyBorder="1" applyAlignment="1" applyProtection="1">
      <alignment horizontal="left"/>
      <protection hidden="1"/>
    </xf>
    <xf numFmtId="0" fontId="8" fillId="2" borderId="45" xfId="0" applyFont="1" applyFill="1" applyBorder="1" applyAlignment="1" applyProtection="1">
      <alignment horizontal="left"/>
      <protection hidden="1"/>
    </xf>
    <xf numFmtId="0" fontId="16" fillId="2" borderId="54" xfId="0" applyFont="1" applyFill="1" applyBorder="1" applyAlignment="1" applyProtection="1">
      <alignment horizontal="left" vertical="center" wrapText="1"/>
      <protection hidden="1"/>
    </xf>
    <xf numFmtId="0" fontId="16" fillId="2" borderId="3" xfId="0" applyFont="1" applyFill="1" applyBorder="1" applyAlignment="1" applyProtection="1">
      <alignment horizontal="left" vertical="center" wrapText="1"/>
      <protection hidden="1"/>
    </xf>
    <xf numFmtId="0" fontId="8" fillId="2" borderId="5" xfId="0" applyFont="1" applyFill="1" applyBorder="1" applyAlignment="1" applyProtection="1">
      <alignment horizontal="left"/>
      <protection hidden="1"/>
    </xf>
    <xf numFmtId="0" fontId="10" fillId="5" borderId="50" xfId="0" applyFont="1" applyFill="1" applyBorder="1" applyAlignment="1" applyProtection="1">
      <alignment horizontal="left" vertical="center"/>
      <protection hidden="1"/>
    </xf>
    <xf numFmtId="0" fontId="10" fillId="5" borderId="21" xfId="0" applyFont="1" applyFill="1" applyBorder="1" applyAlignment="1" applyProtection="1">
      <alignment horizontal="left" vertical="center"/>
      <protection hidden="1"/>
    </xf>
    <xf numFmtId="0" fontId="8" fillId="2" borderId="70" xfId="0" applyFont="1" applyFill="1" applyBorder="1" applyAlignment="1" applyProtection="1">
      <alignment horizontal="left"/>
      <protection hidden="1"/>
    </xf>
    <xf numFmtId="0" fontId="8" fillId="2" borderId="71" xfId="0" applyFont="1" applyFill="1" applyBorder="1" applyAlignment="1" applyProtection="1">
      <alignment horizontal="left"/>
      <protection hidden="1"/>
    </xf>
    <xf numFmtId="0" fontId="8" fillId="2" borderId="72" xfId="0" applyFont="1" applyFill="1" applyBorder="1" applyAlignment="1" applyProtection="1">
      <alignment horizontal="left"/>
      <protection hidden="1"/>
    </xf>
    <xf numFmtId="0" fontId="8" fillId="2" borderId="54" xfId="0" applyFont="1" applyFill="1" applyBorder="1" applyAlignment="1" applyProtection="1">
      <alignment horizontal="left"/>
      <protection hidden="1"/>
    </xf>
    <xf numFmtId="0" fontId="8" fillId="2" borderId="3" xfId="0" applyFont="1" applyFill="1" applyBorder="1" applyAlignment="1" applyProtection="1">
      <alignment horizontal="left"/>
      <protection hidden="1"/>
    </xf>
    <xf numFmtId="0" fontId="4" fillId="2" borderId="0" xfId="0" quotePrefix="1" applyFont="1" applyFill="1" applyBorder="1" applyAlignment="1" applyProtection="1">
      <alignment horizontal="center" vertical="top"/>
      <protection hidden="1"/>
    </xf>
    <xf numFmtId="0" fontId="10" fillId="2" borderId="0" xfId="0" applyFont="1" applyFill="1" applyBorder="1" applyAlignment="1" applyProtection="1">
      <alignment horizontal="center" vertical="center"/>
      <protection hidden="1"/>
    </xf>
    <xf numFmtId="0" fontId="5" fillId="3" borderId="0" xfId="0" applyFont="1" applyFill="1" applyBorder="1" applyAlignment="1" applyProtection="1">
      <alignment horizontal="center" wrapText="1"/>
      <protection hidden="1"/>
    </xf>
    <xf numFmtId="0" fontId="5" fillId="3" borderId="0" xfId="0" applyFont="1" applyFill="1" applyBorder="1" applyAlignment="1" applyProtection="1">
      <alignment horizontal="center"/>
      <protection hidden="1"/>
    </xf>
    <xf numFmtId="0" fontId="14" fillId="2" borderId="0" xfId="0" applyFont="1" applyFill="1" applyBorder="1" applyAlignment="1" applyProtection="1">
      <alignment horizontal="center"/>
      <protection hidden="1"/>
    </xf>
    <xf numFmtId="0" fontId="4" fillId="2" borderId="0" xfId="0" applyFont="1" applyFill="1" applyBorder="1" applyAlignment="1" applyProtection="1">
      <alignment horizontal="left" vertical="top" wrapText="1"/>
      <protection hidden="1"/>
    </xf>
    <xf numFmtId="0" fontId="4" fillId="2" borderId="0" xfId="0" applyFont="1" applyFill="1" applyBorder="1" applyAlignment="1" applyProtection="1">
      <alignment horizontal="left" vertical="center" wrapText="1"/>
      <protection hidden="1"/>
    </xf>
    <xf numFmtId="0" fontId="0" fillId="0" borderId="0" xfId="0" applyAlignment="1" applyProtection="1">
      <alignment wrapText="1"/>
      <protection hidden="1"/>
    </xf>
    <xf numFmtId="0" fontId="4" fillId="2" borderId="0" xfId="0" applyFont="1" applyFill="1" applyBorder="1" applyAlignment="1" applyProtection="1">
      <alignment horizontal="left" vertical="top"/>
      <protection hidden="1"/>
    </xf>
    <xf numFmtId="0" fontId="28" fillId="2" borderId="0" xfId="0" applyFont="1" applyFill="1" applyAlignment="1" applyProtection="1">
      <alignment horizontal="left" wrapText="1"/>
      <protection hidden="1"/>
    </xf>
    <xf numFmtId="0" fontId="35" fillId="2" borderId="0" xfId="4" applyFill="1" applyBorder="1" applyAlignment="1" applyProtection="1">
      <alignment horizontal="left" vertical="center" wrapText="1"/>
      <protection hidden="1"/>
    </xf>
    <xf numFmtId="0" fontId="21" fillId="2" borderId="0" xfId="0" quotePrefix="1" applyFont="1" applyFill="1" applyBorder="1" applyAlignment="1" applyProtection="1">
      <alignment horizontal="center" vertical="top"/>
      <protection hidden="1"/>
    </xf>
    <xf numFmtId="0" fontId="4" fillId="2" borderId="0" xfId="0" applyFont="1" applyFill="1" applyBorder="1" applyAlignment="1" applyProtection="1">
      <alignment horizontal="left" wrapText="1"/>
      <protection hidden="1"/>
    </xf>
    <xf numFmtId="0" fontId="17" fillId="2" borderId="0" xfId="0" applyFont="1" applyFill="1" applyBorder="1" applyAlignment="1" applyProtection="1">
      <alignment horizontal="left" vertical="center" wrapText="1"/>
      <protection hidden="1"/>
    </xf>
    <xf numFmtId="0" fontId="26" fillId="3" borderId="54" xfId="0" applyFont="1" applyFill="1" applyBorder="1" applyAlignment="1">
      <alignment horizontal="left" wrapText="1"/>
    </xf>
    <xf numFmtId="0" fontId="26" fillId="3" borderId="3" xfId="0" applyFont="1" applyFill="1" applyBorder="1" applyAlignment="1">
      <alignment horizontal="left"/>
    </xf>
    <xf numFmtId="0" fontId="22" fillId="8" borderId="99" xfId="0" applyFont="1" applyFill="1" applyBorder="1" applyAlignment="1" applyProtection="1">
      <alignment horizontal="center" vertical="center" wrapText="1"/>
      <protection hidden="1"/>
    </xf>
    <xf numFmtId="0" fontId="22" fillId="8" borderId="82" xfId="0" applyFont="1" applyFill="1" applyBorder="1" applyAlignment="1" applyProtection="1">
      <alignment horizontal="center" vertical="center"/>
      <protection hidden="1"/>
    </xf>
    <xf numFmtId="0" fontId="22" fillId="8" borderId="83" xfId="0" applyFont="1" applyFill="1" applyBorder="1" applyAlignment="1" applyProtection="1">
      <alignment horizontal="center" vertical="center"/>
      <protection hidden="1"/>
    </xf>
    <xf numFmtId="0" fontId="26" fillId="6" borderId="88" xfId="0" applyFont="1" applyFill="1" applyBorder="1" applyAlignment="1">
      <alignment horizontal="left" wrapText="1"/>
    </xf>
    <xf numFmtId="0" fontId="26" fillId="6" borderId="89" xfId="0" applyFont="1" applyFill="1" applyBorder="1" applyAlignment="1">
      <alignment horizontal="left" wrapText="1"/>
    </xf>
    <xf numFmtId="0" fontId="0" fillId="0" borderId="1" xfId="0" applyFill="1" applyBorder="1" applyAlignment="1">
      <alignment horizontal="center" vertical="center"/>
    </xf>
    <xf numFmtId="0" fontId="0" fillId="0" borderId="1" xfId="0" applyFill="1" applyBorder="1"/>
    <xf numFmtId="0" fontId="30" fillId="6" borderId="62" xfId="0" applyFont="1" applyFill="1" applyBorder="1" applyAlignment="1">
      <alignment horizontal="center" vertical="center" wrapText="1"/>
    </xf>
    <xf numFmtId="0" fontId="30" fillId="6" borderId="107" xfId="0" applyFont="1" applyFill="1" applyBorder="1" applyAlignment="1">
      <alignment horizontal="center" vertical="center" wrapText="1"/>
    </xf>
    <xf numFmtId="0" fontId="30" fillId="6" borderId="75" xfId="0" applyFont="1" applyFill="1" applyBorder="1" applyAlignment="1">
      <alignment horizontal="center" vertical="center" wrapText="1"/>
    </xf>
    <xf numFmtId="0" fontId="0" fillId="3" borderId="54" xfId="0" applyFill="1" applyBorder="1" applyAlignment="1">
      <alignment horizontal="left"/>
    </xf>
    <xf numFmtId="0" fontId="0" fillId="3" borderId="3" xfId="0" applyFill="1" applyBorder="1" applyAlignment="1">
      <alignment horizontal="left"/>
    </xf>
    <xf numFmtId="0" fontId="0" fillId="0" borderId="1" xfId="0" applyFill="1" applyBorder="1" applyAlignment="1">
      <alignment horizontal="left" wrapText="1"/>
    </xf>
    <xf numFmtId="0" fontId="26" fillId="0" borderId="1" xfId="0" applyFont="1" applyFill="1" applyBorder="1" applyAlignment="1">
      <alignment horizontal="left"/>
    </xf>
    <xf numFmtId="0" fontId="22" fillId="8" borderId="111" xfId="0" applyFont="1" applyFill="1" applyBorder="1" applyAlignment="1" applyProtection="1">
      <alignment horizontal="center" vertical="center"/>
      <protection hidden="1"/>
    </xf>
    <xf numFmtId="0" fontId="22" fillId="8" borderId="90" xfId="0" applyFont="1" applyFill="1" applyBorder="1" applyAlignment="1" applyProtection="1">
      <alignment horizontal="center" vertical="center"/>
      <protection hidden="1"/>
    </xf>
    <xf numFmtId="0" fontId="22" fillId="8" borderId="112" xfId="0" applyFont="1" applyFill="1" applyBorder="1" applyAlignment="1" applyProtection="1">
      <alignment horizontal="center" vertical="center"/>
      <protection hidden="1"/>
    </xf>
    <xf numFmtId="0" fontId="0" fillId="0" borderId="75" xfId="0" applyBorder="1"/>
    <xf numFmtId="0" fontId="0" fillId="0" borderId="0" xfId="0" applyFill="1" applyBorder="1" applyAlignment="1">
      <alignment horizontal="center" vertical="center"/>
    </xf>
    <xf numFmtId="0" fontId="0" fillId="0" borderId="1" xfId="0" applyBorder="1" applyAlignment="1">
      <alignment horizontal="left"/>
    </xf>
    <xf numFmtId="0" fontId="0" fillId="0" borderId="0" xfId="0" applyFill="1" applyBorder="1" applyAlignment="1">
      <alignment horizontal="center" vertical="center" wrapText="1"/>
    </xf>
    <xf numFmtId="0" fontId="25" fillId="0" borderId="62" xfId="0" applyFont="1" applyFill="1" applyBorder="1" applyAlignment="1">
      <alignment horizontal="left"/>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3" borderId="25" xfId="0" applyFont="1" applyFill="1" applyBorder="1" applyAlignment="1">
      <alignment horizontal="left"/>
    </xf>
    <xf numFmtId="0" fontId="0" fillId="6" borderId="5" xfId="0" applyFont="1" applyFill="1" applyBorder="1" applyAlignment="1">
      <alignment horizontal="left"/>
    </xf>
    <xf numFmtId="0" fontId="0" fillId="3" borderId="5" xfId="0" applyFont="1" applyFill="1" applyBorder="1" applyAlignment="1">
      <alignment horizontal="left"/>
    </xf>
    <xf numFmtId="0" fontId="22" fillId="8" borderId="99" xfId="0" applyFont="1" applyFill="1" applyBorder="1" applyAlignment="1" applyProtection="1">
      <alignment horizontal="center" vertical="center"/>
      <protection hidden="1"/>
    </xf>
    <xf numFmtId="0" fontId="26" fillId="4" borderId="5" xfId="0" applyFont="1" applyFill="1" applyBorder="1" applyAlignment="1">
      <alignment horizontal="left"/>
    </xf>
    <xf numFmtId="0" fontId="26" fillId="3" borderId="39" xfId="0" applyFont="1" applyFill="1" applyBorder="1" applyAlignment="1">
      <alignment horizontal="left" wrapText="1"/>
    </xf>
    <xf numFmtId="0" fontId="26" fillId="3" borderId="6" xfId="0" applyFont="1" applyFill="1" applyBorder="1" applyAlignment="1">
      <alignment horizontal="left" wrapText="1"/>
    </xf>
    <xf numFmtId="0" fontId="26" fillId="4" borderId="39" xfId="0" applyFont="1" applyFill="1" applyBorder="1" applyAlignment="1">
      <alignment horizontal="left"/>
    </xf>
    <xf numFmtId="0" fontId="26" fillId="4" borderId="6" xfId="0" applyFont="1" applyFill="1" applyBorder="1" applyAlignment="1">
      <alignment horizontal="left"/>
    </xf>
    <xf numFmtId="0" fontId="26" fillId="3" borderId="25" xfId="0" applyFont="1" applyFill="1" applyBorder="1" applyAlignment="1">
      <alignment horizontal="left" wrapText="1"/>
    </xf>
    <xf numFmtId="0" fontId="26" fillId="3" borderId="25" xfId="0" applyFont="1" applyFill="1" applyBorder="1" applyAlignment="1">
      <alignment horizontal="left"/>
    </xf>
    <xf numFmtId="0" fontId="0" fillId="4" borderId="54" xfId="0" applyFont="1" applyFill="1" applyBorder="1" applyAlignment="1">
      <alignment horizontal="left" wrapText="1"/>
    </xf>
    <xf numFmtId="0" fontId="0" fillId="4" borderId="3" xfId="0" applyFont="1" applyFill="1" applyBorder="1" applyAlignment="1">
      <alignment horizontal="left" wrapText="1"/>
    </xf>
    <xf numFmtId="0" fontId="26" fillId="4" borderId="41" xfId="0" applyFont="1" applyFill="1" applyBorder="1" applyAlignment="1">
      <alignment horizontal="left"/>
    </xf>
    <xf numFmtId="0" fontId="26" fillId="4" borderId="42" xfId="0" applyFont="1" applyFill="1" applyBorder="1" applyAlignment="1">
      <alignment horizontal="left"/>
    </xf>
    <xf numFmtId="0" fontId="0" fillId="4" borderId="54" xfId="0" applyFont="1" applyFill="1" applyBorder="1" applyAlignment="1">
      <alignment horizontal="left"/>
    </xf>
    <xf numFmtId="0" fontId="0" fillId="4" borderId="3" xfId="0" applyFont="1" applyFill="1" applyBorder="1" applyAlignment="1">
      <alignment horizontal="left"/>
    </xf>
    <xf numFmtId="0" fontId="0" fillId="2" borderId="100" xfId="0" applyFill="1" applyBorder="1" applyAlignment="1">
      <alignment horizontal="center" vertical="center" wrapText="1"/>
    </xf>
    <xf numFmtId="0" fontId="0" fillId="2" borderId="101" xfId="0" applyFill="1" applyBorder="1" applyAlignment="1">
      <alignment horizontal="center" vertical="center" wrapText="1"/>
    </xf>
    <xf numFmtId="0" fontId="0" fillId="2" borderId="102" xfId="0" applyFill="1" applyBorder="1" applyAlignment="1">
      <alignment horizontal="center" vertical="center" wrapText="1"/>
    </xf>
    <xf numFmtId="0" fontId="0" fillId="0" borderId="100" xfId="0" applyBorder="1" applyAlignment="1">
      <alignment horizontal="center" vertical="center" wrapText="1"/>
    </xf>
    <xf numFmtId="0" fontId="0" fillId="0" borderId="101" xfId="0" applyBorder="1" applyAlignment="1">
      <alignment horizontal="center" vertical="center" wrapText="1"/>
    </xf>
    <xf numFmtId="0" fontId="0" fillId="0" borderId="102" xfId="0" applyBorder="1" applyAlignment="1">
      <alignment horizontal="center" vertical="center" wrapText="1"/>
    </xf>
    <xf numFmtId="0" fontId="26" fillId="0" borderId="75" xfId="0" applyFont="1" applyFill="1" applyBorder="1" applyAlignment="1">
      <alignment horizontal="left" wrapText="1"/>
    </xf>
    <xf numFmtId="0" fontId="26" fillId="0" borderId="1" xfId="0" applyFont="1" applyFill="1" applyBorder="1" applyAlignment="1">
      <alignment horizontal="left" wrapText="1"/>
    </xf>
    <xf numFmtId="0" fontId="4" fillId="0" borderId="110" xfId="0" applyFont="1" applyFill="1" applyBorder="1" applyAlignment="1" applyProtection="1">
      <alignment horizontal="left" vertical="top" wrapText="1"/>
      <protection hidden="1"/>
    </xf>
    <xf numFmtId="0" fontId="4" fillId="0" borderId="75" xfId="0" applyFont="1" applyFill="1" applyBorder="1" applyAlignment="1" applyProtection="1">
      <alignment horizontal="left" vertical="top" wrapText="1"/>
      <protection hidden="1"/>
    </xf>
    <xf numFmtId="0" fontId="4" fillId="0" borderId="104" xfId="0" applyFont="1" applyFill="1" applyBorder="1" applyAlignment="1" applyProtection="1">
      <alignment horizontal="left" vertical="top" wrapText="1"/>
      <protection hidden="1"/>
    </xf>
    <xf numFmtId="0" fontId="4" fillId="0" borderId="1" xfId="0" applyFont="1" applyFill="1" applyBorder="1" applyAlignment="1" applyProtection="1">
      <alignment horizontal="left" vertical="top" wrapText="1"/>
      <protection hidden="1"/>
    </xf>
    <xf numFmtId="0" fontId="4" fillId="0" borderId="106" xfId="0" applyFont="1" applyFill="1" applyBorder="1" applyAlignment="1" applyProtection="1">
      <alignment horizontal="left" vertical="top" wrapText="1"/>
      <protection hidden="1"/>
    </xf>
    <xf numFmtId="0" fontId="4" fillId="0" borderId="69" xfId="0" applyFont="1" applyFill="1" applyBorder="1" applyAlignment="1" applyProtection="1">
      <alignment horizontal="left" vertical="top" wrapText="1"/>
      <protection hidden="1"/>
    </xf>
    <xf numFmtId="0" fontId="0" fillId="0" borderId="109" xfId="0" applyFill="1" applyBorder="1" applyAlignment="1"/>
    <xf numFmtId="0" fontId="0" fillId="0" borderId="3" xfId="0" applyFill="1" applyBorder="1" applyAlignment="1"/>
    <xf numFmtId="0" fontId="0" fillId="0" borderId="108" xfId="0" applyFill="1" applyBorder="1" applyAlignment="1"/>
    <xf numFmtId="0" fontId="0" fillId="0" borderId="103" xfId="0" applyFill="1" applyBorder="1" applyAlignment="1"/>
    <xf numFmtId="0" fontId="22" fillId="5" borderId="111" xfId="0" applyFont="1" applyFill="1" applyBorder="1" applyAlignment="1" applyProtection="1">
      <alignment horizontal="center" vertical="center"/>
      <protection hidden="1"/>
    </xf>
    <xf numFmtId="0" fontId="22" fillId="5" borderId="90" xfId="0" applyFont="1" applyFill="1" applyBorder="1" applyAlignment="1" applyProtection="1">
      <alignment horizontal="center" vertical="center"/>
      <protection hidden="1"/>
    </xf>
    <xf numFmtId="0" fontId="22" fillId="5" borderId="112" xfId="0" applyFont="1" applyFill="1" applyBorder="1" applyAlignment="1" applyProtection="1">
      <alignment horizontal="center" vertical="center"/>
      <protection hidden="1"/>
    </xf>
    <xf numFmtId="0" fontId="0" fillId="0" borderId="54" xfId="0" applyFill="1" applyBorder="1" applyAlignment="1">
      <alignment horizontal="left"/>
    </xf>
    <xf numFmtId="0" fontId="0" fillId="0" borderId="3" xfId="0" applyFill="1" applyBorder="1" applyAlignment="1">
      <alignment horizontal="left"/>
    </xf>
    <xf numFmtId="0" fontId="22" fillId="5" borderId="99" xfId="0" applyFont="1" applyFill="1" applyBorder="1" applyAlignment="1" applyProtection="1">
      <alignment horizontal="center" vertical="center"/>
      <protection hidden="1"/>
    </xf>
    <xf numFmtId="0" fontId="22" fillId="5" borderId="82" xfId="0" applyFont="1" applyFill="1" applyBorder="1" applyAlignment="1" applyProtection="1">
      <alignment horizontal="center" vertical="center"/>
      <protection hidden="1"/>
    </xf>
    <xf numFmtId="0" fontId="22" fillId="5" borderId="83" xfId="0" applyFont="1" applyFill="1" applyBorder="1" applyAlignment="1" applyProtection="1">
      <alignment horizontal="center" vertical="center"/>
      <protection hidden="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100" xfId="0" applyFill="1" applyBorder="1" applyAlignment="1">
      <alignment horizontal="center" vertical="center" wrapText="1"/>
    </xf>
    <xf numFmtId="0" fontId="0" fillId="0" borderId="101" xfId="0" applyFill="1" applyBorder="1" applyAlignment="1">
      <alignment horizontal="center" vertical="center" wrapText="1"/>
    </xf>
    <xf numFmtId="0" fontId="0" fillId="0" borderId="102" xfId="0" applyFill="1" applyBorder="1" applyAlignment="1">
      <alignment horizontal="center" vertical="center" wrapText="1"/>
    </xf>
    <xf numFmtId="0" fontId="0" fillId="0" borderId="104" xfId="0" applyFill="1" applyBorder="1" applyAlignment="1">
      <alignment horizontal="center" vertical="center"/>
    </xf>
    <xf numFmtId="0" fontId="0" fillId="0" borderId="106" xfId="0" applyFill="1" applyBorder="1" applyAlignment="1">
      <alignment horizontal="center" vertical="center"/>
    </xf>
    <xf numFmtId="0" fontId="27" fillId="0" borderId="109" xfId="0" applyFont="1" applyFill="1" applyBorder="1" applyAlignment="1" applyProtection="1">
      <alignment vertical="top" wrapText="1"/>
      <protection hidden="1"/>
    </xf>
    <xf numFmtId="0" fontId="27" fillId="0" borderId="3" xfId="0" applyFont="1" applyFill="1" applyBorder="1" applyAlignment="1" applyProtection="1">
      <alignment vertical="top" wrapText="1"/>
      <protection hidden="1"/>
    </xf>
    <xf numFmtId="0" fontId="0" fillId="0" borderId="20" xfId="0" applyFill="1" applyBorder="1" applyAlignment="1"/>
  </cellXfs>
  <cellStyles count="5">
    <cellStyle name="Ezres" xfId="3" builtinId="3"/>
    <cellStyle name="Hivatkozás" xfId="4" builtinId="8"/>
    <cellStyle name="Normál" xfId="0" builtinId="0"/>
    <cellStyle name="Pénznem" xfId="2" builtinId="4"/>
    <cellStyle name="Százalék" xfId="1" builtinId="5"/>
  </cellStyles>
  <dxfs count="16">
    <dxf>
      <numFmt numFmtId="167" formatCode="0.0%"/>
    </dxf>
    <dxf>
      <numFmt numFmtId="165" formatCode="_-* #,##0\ &quot;Ft&quot;_-;\-* #,##0\ &quot;Ft&quot;_-;_-* &quot;-&quot;??\ &quot;Ft&quot;_-;_-@_-"/>
    </dxf>
    <dxf>
      <font>
        <b val="0"/>
        <i val="0"/>
        <strike val="0"/>
        <condense val="0"/>
        <extend val="0"/>
        <outline val="0"/>
        <shadow val="0"/>
        <u val="none"/>
        <vertAlign val="baseline"/>
        <sz val="11"/>
        <color theme="1"/>
        <name val="Calibri"/>
        <scheme val="minor"/>
      </font>
    </dxf>
    <dxf>
      <alignment horizontal="general" vertical="bottom" textRotation="0" wrapText="1" indent="0" justifyLastLine="0" shrinkToFit="0" readingOrder="0"/>
    </dxf>
    <dxf>
      <font>
        <color theme="0" tint="-0.24994659260841701"/>
      </font>
      <fill>
        <patternFill patternType="lightDown">
          <bgColor theme="0"/>
        </patternFill>
      </fill>
      <border>
        <left/>
        <right/>
        <top/>
        <bottom/>
      </border>
    </dxf>
    <dxf>
      <font>
        <color theme="0" tint="-0.24994659260841701"/>
      </font>
      <fill>
        <patternFill patternType="lightDown">
          <fgColor indexed="64"/>
          <bgColor auto="1"/>
        </patternFill>
      </fill>
      <border>
        <left/>
        <right/>
        <top/>
        <bottom/>
      </border>
    </dxf>
    <dxf>
      <font>
        <strike val="0"/>
        <color theme="0" tint="-0.24994659260841701"/>
      </font>
      <fill>
        <patternFill patternType="lightDown"/>
      </fill>
    </dxf>
    <dxf>
      <font>
        <strike val="0"/>
        <color theme="0" tint="-0.24994659260841701"/>
      </font>
      <fill>
        <patternFill patternType="lightDown"/>
      </fill>
    </dxf>
    <dxf>
      <font>
        <strike val="0"/>
        <color theme="0" tint="-0.24994659260841701"/>
      </font>
      <fill>
        <patternFill patternType="lightDown"/>
      </fill>
    </dxf>
    <dxf>
      <font>
        <strike val="0"/>
        <color theme="0" tint="-0.24994659260841701"/>
      </font>
      <fill>
        <patternFill patternType="lightDown"/>
      </fill>
    </dxf>
    <dxf>
      <font>
        <strike val="0"/>
        <color theme="0" tint="-0.24994659260841701"/>
      </font>
      <fill>
        <patternFill patternType="lightDown"/>
      </fill>
    </dxf>
    <dxf>
      <font>
        <strike val="0"/>
        <color theme="0" tint="-0.24994659260841701"/>
      </font>
      <fill>
        <patternFill patternType="lightDown"/>
      </fill>
    </dxf>
    <dxf>
      <font>
        <color theme="0" tint="-0.24994659260841701"/>
      </font>
      <fill>
        <patternFill patternType="lightDown"/>
      </fill>
    </dxf>
    <dxf>
      <font>
        <color theme="0" tint="-0.24994659260841701"/>
      </font>
      <fill>
        <patternFill patternType="lightDown">
          <bgColor auto="1"/>
        </patternFill>
      </fill>
    </dxf>
    <dxf>
      <font>
        <color theme="0" tint="-0.24994659260841701"/>
      </font>
      <fill>
        <patternFill patternType="lightDown"/>
      </fill>
    </dxf>
    <dxf>
      <font>
        <color theme="0" tint="-0.24994659260841701"/>
      </font>
      <fill>
        <patternFill patternType="lightDown"/>
      </fill>
    </dxf>
  </dxfs>
  <tableStyles count="0" defaultTableStyle="TableStyleMedium2" defaultPivotStyle="PivotStyleMedium9"/>
  <colors>
    <mruColors>
      <color rgb="FFF7E8B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Szochokedvezmények" displayName="Szochokedvezmények" ref="A30:C40" totalsRowShown="0">
  <autoFilter ref="A30:C40"/>
  <tableColumns count="3">
    <tableColumn id="1" name="Típus" dataDxfId="3"/>
    <tableColumn id="2" name="Mérték" dataDxfId="2"/>
    <tableColumn id="3" name="Plafon" dataDxfId="1"/>
  </tableColumns>
  <tableStyleInfo name="TableStyleLight1" showFirstColumn="0" showLastColumn="0" showRowStripes="1" showColumnStripes="0"/>
</table>
</file>

<file path=xl/tables/table2.xml><?xml version="1.0" encoding="utf-8"?>
<table xmlns="http://schemas.openxmlformats.org/spreadsheetml/2006/main" id="2" name="Paraméterek" displayName="Paraméterek" ref="A9:B28" totalsRowShown="0">
  <autoFilter ref="A9:B28"/>
  <tableColumns count="2">
    <tableColumn id="1" name="kulcs"/>
    <tableColumn id="2" name="érték" dataDxfId="0"/>
  </tableColumns>
  <tableStyleInfo name="TableStyleLight1" showFirstColumn="0" showLastColumn="0" showRowStripes="1" showColumnStripes="0"/>
</table>
</file>

<file path=xl/tables/table3.xml><?xml version="1.0" encoding="utf-8"?>
<table xmlns="http://schemas.openxmlformats.org/spreadsheetml/2006/main" id="4" name="Átalányadókulcsok" displayName="Átalányadókulcsok" ref="A42:B46" totalsRowShown="0">
  <autoFilter ref="A42:B46"/>
  <tableColumns count="2">
    <tableColumn id="2" name="Mérték (általános)"/>
    <tableColumn id="3" name="Mérték (kiegészítő tevékenység)"/>
  </tableColumns>
  <tableStyleInfo name="TableStyleLight1" showFirstColumn="0" showLastColumn="0" showRowStripes="1" showColumnStripes="0"/>
</table>
</file>

<file path=xl/tables/table4.xml><?xml version="1.0" encoding="utf-8"?>
<table xmlns="http://schemas.openxmlformats.org/spreadsheetml/2006/main" id="3" name="Vállalkozási_forma" displayName="Vállalkozási_forma" ref="A1:A3" headerRowCount="0" totalsRowShown="0">
  <tableColumns count="1">
    <tableColumn id="1" name="Vállalkozási forma"/>
  </tableColumns>
  <tableStyleInfo name="TableStyleLight1" showFirstColumn="0" showLastColumn="0" showRowStripes="1" showColumnStripes="0"/>
</table>
</file>

<file path=xl/tables/table5.xml><?xml version="1.0" encoding="utf-8"?>
<table xmlns="http://schemas.openxmlformats.org/spreadsheetml/2006/main" id="5" name="Igen_Nem" displayName="Igen_Nem" ref="A5:A7" headerRowCount="0" totalsRowShown="0">
  <tableColumns count="1">
    <tableColumn id="1" name="Column1"/>
  </tableColumns>
  <tableStyleInfo name="TableStyleLight1" showFirstColumn="0" showLastColumn="0" showRowStripes="1" showColumnStripes="0"/>
</table>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av.gov.hu/data/cms488873/03_Az_egyeni_vallalkozok_jovedelmenek_meghatarozasara_es_jarulekfizetesere_vonatkozo_alapvet__szabalyok_20190725.pdf" TargetMode="External"/><Relationship Id="rId1" Type="http://schemas.openxmlformats.org/officeDocument/2006/relationships/hyperlink" Target="https://nav.gov.hu/data/cms488873/03_Az_egyeni_vallalkozok_jovedelmenek_meghatarozasara_es_jarulekfizetesere_vonatkozo_alapvet__szabalyok_20190725.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nav.gov.hu/data/cms488622/12_A_tarsas_vallalkozasok_tarsas_vallalkozok_jarulekfizetesi_szabalyai_20190722.pdf" TargetMode="External"/><Relationship Id="rId1" Type="http://schemas.openxmlformats.org/officeDocument/2006/relationships/hyperlink" Target="https://nav.gov.hu/data/cms488622/12_A_tarsas_vallalkozasok_tarsas_vallalkozok_jarulekfizetesi_szabalyai_20190722.pdf"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23"/>
  <sheetViews>
    <sheetView tabSelected="1" zoomScale="85" zoomScaleNormal="85" workbookViewId="0">
      <selection activeCell="E8" sqref="E8"/>
    </sheetView>
  </sheetViews>
  <sheetFormatPr defaultColWidth="0" defaultRowHeight="15" zeroHeight="1" x14ac:dyDescent="0.25"/>
  <cols>
    <col min="1" max="1" width="8.28515625" style="253" customWidth="1"/>
    <col min="2" max="2" width="47.7109375" style="254" customWidth="1"/>
    <col min="3" max="4" width="17" style="254" bestFit="1" customWidth="1"/>
    <col min="5" max="9" width="20.140625" style="254" customWidth="1"/>
    <col min="10" max="10" width="15" style="254" customWidth="1"/>
    <col min="11" max="11" width="18.85546875" style="254" customWidth="1"/>
    <col min="12" max="12" width="8.42578125" style="255" customWidth="1"/>
    <col min="13" max="16384" width="23.140625" style="254" hidden="1"/>
  </cols>
  <sheetData>
    <row r="1" spans="1:12" ht="15.75" customHeight="1" x14ac:dyDescent="0.25"/>
    <row r="2" spans="1:12" ht="46.5" customHeight="1" x14ac:dyDescent="0.25">
      <c r="B2" s="400" t="s">
        <v>348</v>
      </c>
      <c r="C2" s="400"/>
      <c r="D2" s="400"/>
      <c r="E2" s="400"/>
      <c r="F2" s="400"/>
      <c r="G2" s="400"/>
      <c r="H2" s="400"/>
      <c r="I2" s="178"/>
      <c r="J2" s="178"/>
      <c r="K2" s="178"/>
      <c r="L2" s="254"/>
    </row>
    <row r="3" spans="1:12" s="258" customFormat="1" ht="336" customHeight="1" x14ac:dyDescent="0.25">
      <c r="A3" s="256"/>
      <c r="B3" s="384" t="s">
        <v>401</v>
      </c>
      <c r="C3" s="384"/>
      <c r="D3" s="384"/>
      <c r="E3" s="384"/>
      <c r="F3" s="384"/>
      <c r="G3" s="384"/>
      <c r="H3" s="384"/>
      <c r="I3" s="257"/>
      <c r="J3" s="257"/>
      <c r="K3" s="257"/>
    </row>
    <row r="4" spans="1:12" ht="23.25" customHeight="1" x14ac:dyDescent="0.25">
      <c r="B4" s="392" t="s">
        <v>1</v>
      </c>
      <c r="C4" s="392"/>
      <c r="D4" s="392"/>
      <c r="E4" s="392"/>
      <c r="F4" s="392"/>
      <c r="G4" s="392"/>
      <c r="H4" s="392"/>
      <c r="I4" s="392"/>
      <c r="J4" s="392"/>
      <c r="K4" s="392"/>
      <c r="L4" s="254"/>
    </row>
    <row r="5" spans="1:12" ht="27.75" customHeight="1" x14ac:dyDescent="0.25">
      <c r="L5" s="254"/>
    </row>
    <row r="6" spans="1:12" x14ac:dyDescent="0.25">
      <c r="B6" s="391" t="s">
        <v>91</v>
      </c>
      <c r="C6" s="391"/>
      <c r="D6" s="259"/>
      <c r="L6" s="254"/>
    </row>
    <row r="7" spans="1:12" ht="6" customHeight="1" x14ac:dyDescent="0.25">
      <c r="B7" s="260"/>
      <c r="C7" s="260"/>
      <c r="D7" s="259"/>
      <c r="L7" s="254"/>
    </row>
    <row r="8" spans="1:12" x14ac:dyDescent="0.25">
      <c r="B8" s="375" t="s">
        <v>6</v>
      </c>
      <c r="C8" s="375"/>
      <c r="D8" s="375"/>
      <c r="E8" s="261" t="s">
        <v>10</v>
      </c>
      <c r="L8" s="254"/>
    </row>
    <row r="9" spans="1:12" x14ac:dyDescent="0.25">
      <c r="B9" s="379" t="s">
        <v>384</v>
      </c>
      <c r="C9" s="379"/>
      <c r="D9" s="379"/>
      <c r="E9" s="262"/>
      <c r="G9" s="263"/>
      <c r="L9" s="254"/>
    </row>
    <row r="10" spans="1:12" ht="30.75" customHeight="1" x14ac:dyDescent="0.25">
      <c r="B10" s="406" t="s">
        <v>156</v>
      </c>
      <c r="C10" s="407"/>
      <c r="D10" s="408"/>
      <c r="E10" s="262">
        <v>0</v>
      </c>
      <c r="L10" s="254"/>
    </row>
    <row r="11" spans="1:12" ht="17.25" x14ac:dyDescent="0.25">
      <c r="B11" s="372" t="s">
        <v>213</v>
      </c>
      <c r="C11" s="373"/>
      <c r="D11" s="374"/>
      <c r="E11" s="262">
        <v>0</v>
      </c>
      <c r="L11" s="254"/>
    </row>
    <row r="12" spans="1:12" ht="32.25" customHeight="1" x14ac:dyDescent="0.25">
      <c r="B12" s="406" t="s">
        <v>268</v>
      </c>
      <c r="C12" s="407"/>
      <c r="D12" s="408"/>
      <c r="E12" s="262" t="s">
        <v>400</v>
      </c>
      <c r="L12" s="254"/>
    </row>
    <row r="13" spans="1:12" x14ac:dyDescent="0.25">
      <c r="B13" s="372" t="s">
        <v>237</v>
      </c>
      <c r="C13" s="373"/>
      <c r="D13" s="374"/>
      <c r="E13" s="262"/>
      <c r="F13" s="253"/>
      <c r="L13" s="254"/>
    </row>
    <row r="14" spans="1:12" ht="21" customHeight="1" x14ac:dyDescent="0.25">
      <c r="B14" s="383" t="s">
        <v>174</v>
      </c>
      <c r="C14" s="383"/>
      <c r="D14" s="383"/>
      <c r="E14" s="264">
        <v>0.02</v>
      </c>
      <c r="J14" s="255"/>
      <c r="L14" s="254"/>
    </row>
    <row r="15" spans="1:12" ht="27.75" customHeight="1" x14ac:dyDescent="0.25">
      <c r="J15" s="265"/>
      <c r="L15" s="254"/>
    </row>
    <row r="16" spans="1:12" x14ac:dyDescent="0.25">
      <c r="B16" s="259" t="s">
        <v>351</v>
      </c>
      <c r="C16" s="259"/>
      <c r="D16" s="259"/>
      <c r="E16" s="265"/>
      <c r="F16" s="265"/>
      <c r="G16" s="265"/>
      <c r="L16" s="254"/>
    </row>
    <row r="17" spans="1:12" ht="15" customHeight="1" x14ac:dyDescent="0.25">
      <c r="B17" s="259" t="s">
        <v>11</v>
      </c>
      <c r="C17" s="259"/>
      <c r="D17" s="259"/>
      <c r="E17" s="265"/>
      <c r="F17" s="265"/>
      <c r="G17" s="265"/>
      <c r="L17" s="254"/>
    </row>
    <row r="18" spans="1:12" ht="15" customHeight="1" x14ac:dyDescent="0.25">
      <c r="B18" s="259" t="s">
        <v>364</v>
      </c>
      <c r="C18" s="259"/>
      <c r="D18" s="259"/>
      <c r="E18" s="265"/>
      <c r="F18" s="265"/>
      <c r="G18" s="265"/>
      <c r="L18" s="254"/>
    </row>
    <row r="19" spans="1:12" ht="7.5" customHeight="1" x14ac:dyDescent="0.25">
      <c r="B19" s="393"/>
      <c r="C19" s="393"/>
      <c r="D19" s="393"/>
      <c r="E19" s="393"/>
      <c r="F19" s="393"/>
      <c r="G19" s="393"/>
      <c r="H19" s="393"/>
      <c r="I19" s="393"/>
      <c r="L19" s="254"/>
    </row>
    <row r="20" spans="1:12" x14ac:dyDescent="0.25">
      <c r="B20" s="398"/>
      <c r="C20" s="398"/>
      <c r="D20" s="398"/>
      <c r="E20" s="266" t="s">
        <v>12</v>
      </c>
      <c r="F20" s="267" t="s">
        <v>13</v>
      </c>
      <c r="G20" s="267" t="s">
        <v>14</v>
      </c>
      <c r="H20" s="267" t="s">
        <v>15</v>
      </c>
      <c r="I20" s="267" t="s">
        <v>16</v>
      </c>
      <c r="L20" s="254"/>
    </row>
    <row r="21" spans="1:12" x14ac:dyDescent="0.25">
      <c r="B21" s="368" t="s">
        <v>235</v>
      </c>
      <c r="C21" s="362"/>
      <c r="D21" s="362"/>
      <c r="E21" s="26">
        <v>12</v>
      </c>
      <c r="F21" s="63"/>
      <c r="G21" s="64"/>
      <c r="H21" s="64"/>
      <c r="I21" s="64"/>
      <c r="L21" s="254"/>
    </row>
    <row r="22" spans="1:12" ht="32.25" customHeight="1" x14ac:dyDescent="0.25">
      <c r="B22" s="376" t="s">
        <v>324</v>
      </c>
      <c r="C22" s="377"/>
      <c r="D22" s="378"/>
      <c r="E22" s="268" t="s">
        <v>10</v>
      </c>
      <c r="F22" s="268" t="s">
        <v>10</v>
      </c>
      <c r="G22" s="268" t="s">
        <v>10</v>
      </c>
      <c r="H22" s="268" t="s">
        <v>10</v>
      </c>
      <c r="I22" s="268" t="s">
        <v>10</v>
      </c>
      <c r="L22" s="254"/>
    </row>
    <row r="23" spans="1:12" ht="17.25" x14ac:dyDescent="0.25">
      <c r="B23" s="402" t="s">
        <v>214</v>
      </c>
      <c r="C23" s="402"/>
      <c r="D23" s="402"/>
      <c r="E23" s="269">
        <v>0</v>
      </c>
      <c r="F23" s="270">
        <v>0</v>
      </c>
      <c r="G23" s="270">
        <v>0</v>
      </c>
      <c r="H23" s="270">
        <v>0</v>
      </c>
      <c r="I23" s="270">
        <v>0</v>
      </c>
      <c r="L23" s="254"/>
    </row>
    <row r="24" spans="1:12" ht="48.75" customHeight="1" x14ac:dyDescent="0.25">
      <c r="B24" s="403" t="s">
        <v>207</v>
      </c>
      <c r="C24" s="404"/>
      <c r="D24" s="405"/>
      <c r="E24" s="271">
        <v>0</v>
      </c>
      <c r="F24" s="272">
        <v>0</v>
      </c>
      <c r="G24" s="272">
        <v>0</v>
      </c>
      <c r="H24" s="272">
        <v>0</v>
      </c>
      <c r="I24" s="272">
        <v>0</v>
      </c>
      <c r="L24" s="254"/>
    </row>
    <row r="25" spans="1:12" s="255" customFormat="1" ht="17.25" x14ac:dyDescent="0.25">
      <c r="A25" s="253"/>
      <c r="B25" s="361" t="s">
        <v>177</v>
      </c>
      <c r="C25" s="361"/>
      <c r="D25" s="361"/>
      <c r="E25" s="273" t="s">
        <v>10</v>
      </c>
      <c r="F25" s="273" t="s">
        <v>10</v>
      </c>
      <c r="G25" s="273" t="s">
        <v>10</v>
      </c>
      <c r="H25" s="273" t="s">
        <v>10</v>
      </c>
      <c r="I25" s="273" t="s">
        <v>10</v>
      </c>
      <c r="J25" s="254"/>
      <c r="K25" s="254"/>
      <c r="L25" s="254"/>
    </row>
    <row r="26" spans="1:12" s="255" customFormat="1" ht="32.25" customHeight="1" x14ac:dyDescent="0.25">
      <c r="A26" s="253"/>
      <c r="B26" s="376" t="s">
        <v>398</v>
      </c>
      <c r="C26" s="377"/>
      <c r="D26" s="410"/>
      <c r="E26" s="273" t="s">
        <v>10</v>
      </c>
      <c r="F26" s="273" t="s">
        <v>10</v>
      </c>
      <c r="G26" s="273" t="s">
        <v>10</v>
      </c>
      <c r="H26" s="273" t="s">
        <v>10</v>
      </c>
      <c r="I26" s="273" t="s">
        <v>10</v>
      </c>
      <c r="J26" s="254"/>
      <c r="K26" s="254"/>
      <c r="L26" s="254"/>
    </row>
    <row r="27" spans="1:12" s="255" customFormat="1" ht="17.25" x14ac:dyDescent="0.25">
      <c r="A27" s="253"/>
      <c r="B27" s="411" t="s">
        <v>215</v>
      </c>
      <c r="C27" s="411"/>
      <c r="D27" s="411"/>
      <c r="E27" s="273" t="s">
        <v>10</v>
      </c>
      <c r="F27" s="273" t="s">
        <v>10</v>
      </c>
      <c r="G27" s="273" t="s">
        <v>10</v>
      </c>
      <c r="H27" s="273" t="s">
        <v>10</v>
      </c>
      <c r="I27" s="273" t="s">
        <v>10</v>
      </c>
      <c r="J27" s="254"/>
      <c r="K27" s="254"/>
      <c r="L27" s="254"/>
    </row>
    <row r="28" spans="1:12" s="255" customFormat="1" ht="17.25" x14ac:dyDescent="0.25">
      <c r="A28" s="253"/>
      <c r="B28" s="402" t="s">
        <v>216</v>
      </c>
      <c r="C28" s="402"/>
      <c r="D28" s="402"/>
      <c r="E28" s="273" t="s">
        <v>10</v>
      </c>
      <c r="F28" s="273" t="s">
        <v>10</v>
      </c>
      <c r="G28" s="273" t="s">
        <v>10</v>
      </c>
      <c r="H28" s="273" t="s">
        <v>10</v>
      </c>
      <c r="I28" s="273" t="s">
        <v>10</v>
      </c>
      <c r="J28" s="254"/>
      <c r="K28" s="254"/>
      <c r="L28" s="254"/>
    </row>
    <row r="29" spans="1:12" ht="31.5" customHeight="1" x14ac:dyDescent="0.25">
      <c r="B29" s="394" t="s">
        <v>367</v>
      </c>
      <c r="C29" s="394"/>
      <c r="D29" s="394"/>
      <c r="E29" s="274" t="s">
        <v>10</v>
      </c>
      <c r="F29" s="274" t="s">
        <v>10</v>
      </c>
      <c r="G29" s="274" t="s">
        <v>10</v>
      </c>
      <c r="H29" s="274" t="s">
        <v>10</v>
      </c>
      <c r="I29" s="274" t="s">
        <v>10</v>
      </c>
      <c r="L29" s="254"/>
    </row>
    <row r="30" spans="1:12" s="255" customFormat="1" x14ac:dyDescent="0.25">
      <c r="A30" s="253"/>
      <c r="B30" s="369" t="s">
        <v>236</v>
      </c>
      <c r="C30" s="370"/>
      <c r="D30" s="371"/>
      <c r="E30" s="275"/>
      <c r="F30" s="275"/>
      <c r="G30" s="275"/>
      <c r="H30" s="275"/>
      <c r="I30" s="275"/>
      <c r="J30" s="254"/>
      <c r="K30" s="254"/>
      <c r="L30" s="254"/>
    </row>
    <row r="31" spans="1:12" ht="30" customHeight="1" x14ac:dyDescent="0.25">
      <c r="B31" s="276"/>
      <c r="C31" s="276"/>
      <c r="L31" s="254"/>
    </row>
    <row r="32" spans="1:12" x14ac:dyDescent="0.25">
      <c r="B32" s="259" t="s">
        <v>18</v>
      </c>
      <c r="E32" s="259"/>
      <c r="F32" s="259"/>
      <c r="L32" s="254"/>
    </row>
    <row r="33" spans="2:12" ht="15" customHeight="1" x14ac:dyDescent="0.25">
      <c r="B33" s="367" t="s">
        <v>365</v>
      </c>
      <c r="C33" s="367"/>
      <c r="D33" s="367"/>
      <c r="E33" s="367"/>
      <c r="F33" s="367"/>
      <c r="G33" s="367"/>
      <c r="H33" s="367"/>
      <c r="I33" s="367"/>
      <c r="L33" s="254"/>
    </row>
    <row r="34" spans="2:12" ht="5.25" customHeight="1" x14ac:dyDescent="0.25">
      <c r="B34" s="260"/>
      <c r="E34" s="260"/>
      <c r="F34" s="260"/>
      <c r="L34" s="254"/>
    </row>
    <row r="35" spans="2:12" x14ac:dyDescent="0.25">
      <c r="B35" s="398"/>
      <c r="C35" s="398"/>
      <c r="D35" s="398"/>
      <c r="E35" s="267" t="s">
        <v>12</v>
      </c>
      <c r="F35" s="267" t="s">
        <v>13</v>
      </c>
      <c r="G35" s="267" t="s">
        <v>14</v>
      </c>
      <c r="H35" s="267" t="s">
        <v>15</v>
      </c>
      <c r="I35" s="267" t="s">
        <v>16</v>
      </c>
      <c r="L35" s="254"/>
    </row>
    <row r="36" spans="2:12" ht="30.75" customHeight="1" x14ac:dyDescent="0.25">
      <c r="B36" s="358" t="s">
        <v>357</v>
      </c>
      <c r="C36" s="359"/>
      <c r="D36" s="360"/>
      <c r="E36" s="26"/>
      <c r="F36" s="26"/>
      <c r="G36" s="26"/>
      <c r="H36" s="26"/>
      <c r="I36" s="26"/>
      <c r="L36" s="254"/>
    </row>
    <row r="37" spans="2:12" x14ac:dyDescent="0.25">
      <c r="B37" s="361" t="s">
        <v>20</v>
      </c>
      <c r="C37" s="361"/>
      <c r="D37" s="361"/>
      <c r="E37" s="272">
        <v>0</v>
      </c>
      <c r="F37" s="272">
        <v>0</v>
      </c>
      <c r="G37" s="272">
        <v>0</v>
      </c>
      <c r="H37" s="272">
        <v>0</v>
      </c>
      <c r="I37" s="272">
        <v>0</v>
      </c>
      <c r="L37" s="254"/>
    </row>
    <row r="38" spans="2:12" x14ac:dyDescent="0.25">
      <c r="B38" s="362" t="s">
        <v>358</v>
      </c>
      <c r="C38" s="362"/>
      <c r="D38" s="362"/>
      <c r="E38" s="277" t="s">
        <v>10</v>
      </c>
      <c r="F38" s="277" t="s">
        <v>10</v>
      </c>
      <c r="G38" s="277" t="s">
        <v>10</v>
      </c>
      <c r="H38" s="277" t="s">
        <v>10</v>
      </c>
      <c r="I38" s="277" t="s">
        <v>10</v>
      </c>
      <c r="L38" s="254"/>
    </row>
    <row r="39" spans="2:12" ht="39" customHeight="1" x14ac:dyDescent="0.25">
      <c r="B39" s="363" t="s">
        <v>217</v>
      </c>
      <c r="C39" s="364"/>
      <c r="D39" s="365"/>
      <c r="E39" s="278" t="s">
        <v>95</v>
      </c>
      <c r="F39" s="279" t="s">
        <v>95</v>
      </c>
      <c r="G39" s="279" t="s">
        <v>95</v>
      </c>
      <c r="H39" s="279" t="s">
        <v>95</v>
      </c>
      <c r="I39" s="279" t="s">
        <v>95</v>
      </c>
      <c r="L39" s="254"/>
    </row>
    <row r="40" spans="2:12" ht="34.5" customHeight="1" x14ac:dyDescent="0.25">
      <c r="L40" s="254"/>
    </row>
    <row r="41" spans="2:12" ht="23.25" customHeight="1" x14ac:dyDescent="0.25">
      <c r="B41" s="366" t="s">
        <v>21</v>
      </c>
      <c r="C41" s="366"/>
      <c r="D41" s="366"/>
      <c r="E41" s="366"/>
      <c r="F41" s="366"/>
      <c r="G41" s="366"/>
      <c r="H41" s="366"/>
      <c r="I41" s="366"/>
      <c r="J41" s="366"/>
      <c r="K41" s="366"/>
      <c r="L41" s="254"/>
    </row>
    <row r="42" spans="2:12" ht="9" customHeight="1" thickBot="1" x14ac:dyDescent="0.3">
      <c r="B42" s="259"/>
      <c r="L42" s="254"/>
    </row>
    <row r="43" spans="2:12" ht="15.75" thickBot="1" x14ac:dyDescent="0.3">
      <c r="B43" s="356"/>
      <c r="C43" s="388" t="s">
        <v>7</v>
      </c>
      <c r="D43" s="389"/>
      <c r="E43" s="389"/>
      <c r="F43" s="390"/>
      <c r="G43" s="388" t="s">
        <v>89</v>
      </c>
      <c r="H43" s="389"/>
      <c r="I43" s="389"/>
      <c r="J43" s="390"/>
      <c r="K43" s="354" t="s">
        <v>373</v>
      </c>
      <c r="L43" s="254"/>
    </row>
    <row r="44" spans="2:12" ht="33" thickBot="1" x14ac:dyDescent="0.3">
      <c r="B44" s="357"/>
      <c r="C44" s="280" t="s">
        <v>222</v>
      </c>
      <c r="D44" s="281" t="s">
        <v>349</v>
      </c>
      <c r="E44" s="281" t="s">
        <v>88</v>
      </c>
      <c r="F44" s="282" t="s">
        <v>5</v>
      </c>
      <c r="G44" s="283" t="s">
        <v>128</v>
      </c>
      <c r="H44" s="284" t="s">
        <v>372</v>
      </c>
      <c r="I44" s="285" t="s">
        <v>323</v>
      </c>
      <c r="J44" s="286" t="s">
        <v>5</v>
      </c>
      <c r="K44" s="355"/>
      <c r="L44" s="254"/>
    </row>
    <row r="45" spans="2:12" x14ac:dyDescent="0.25">
      <c r="B45" s="287" t="s">
        <v>375</v>
      </c>
      <c r="C45" s="288">
        <f>'Egyéni vállalkozó'!D57</f>
        <v>0</v>
      </c>
      <c r="D45" s="289">
        <f>'Egyéni vállalkozó'!D49+'Egyéni vállalkozó'!D46</f>
        <v>0</v>
      </c>
      <c r="E45" s="290">
        <f>'Egyéni vállalkozó'!D52</f>
        <v>0</v>
      </c>
      <c r="F45" s="291">
        <f>SUM(C45:E45)</f>
        <v>0</v>
      </c>
      <c r="G45" s="292">
        <f>'Egyéni vállalkozó'!D39+'Egyéni vállalkozó'!D40+'Egyéni vállalkozó'!D41+'Egyéni vállalkozó'!D42+'Egyéni vállalkozó'!D43</f>
        <v>0</v>
      </c>
      <c r="H45" s="293">
        <f>'Egyéni vállalkozó'!D38+'Egyéni vállalkozó'!D60</f>
        <v>0</v>
      </c>
      <c r="I45" s="293">
        <f>'Egyéni vállalkozó'!D61</f>
        <v>0</v>
      </c>
      <c r="J45" s="294">
        <f>SUM(G45:I45)</f>
        <v>0</v>
      </c>
      <c r="K45" s="295">
        <f>F45+J45</f>
        <v>0</v>
      </c>
      <c r="L45" s="254"/>
    </row>
    <row r="46" spans="2:12" ht="17.25" x14ac:dyDescent="0.25">
      <c r="B46" s="296" t="s">
        <v>376</v>
      </c>
      <c r="C46" s="297"/>
      <c r="D46" s="298">
        <f>IF('Egyéni vállalkozó'!D62="Nem jogosult átalányadózás választására","Nem jogosult",'Egyéni vállalkozó'!D80+'Egyéni vállalkozó'!D74)</f>
        <v>0</v>
      </c>
      <c r="E46" s="298">
        <f>IF('Egyéni vállalkozó'!D62="Nem jogosult átalányadózás választására","átalányadózás",'Egyéni vállalkozó'!D77)</f>
        <v>0</v>
      </c>
      <c r="F46" s="299">
        <f>IF('Egyéni vállalkozó'!D62="Nem jogosult átalányadózás választására","választására",SUM(C46:E46))</f>
        <v>0</v>
      </c>
      <c r="G46" s="300">
        <f>IF('Egyéni vállalkozó'!D62="Nem jogosult átalányadózás választására","-",'Egyéni vállalkozó'!D69+'Egyéni vállalkozó'!D70+'Egyéni vállalkozó'!D71+'Egyéni vállalkozó'!D72)</f>
        <v>0</v>
      </c>
      <c r="H46" s="301">
        <f>IF('Egyéni vállalkozó'!D62="Nem jogosult átalányadózás választására","-",'Egyéni vállalkozó'!D68)</f>
        <v>0</v>
      </c>
      <c r="I46" s="302"/>
      <c r="J46" s="299">
        <f>IF('Egyéni vállalkozó'!D62="Nem jogosult átalányadózás választására","-",SUM(G46:I46))</f>
        <v>0</v>
      </c>
      <c r="K46" s="303">
        <f>IF('Egyéni vállalkozó'!D62="Nem jogosult átalányadózás választására","-",F46+J46)</f>
        <v>0</v>
      </c>
      <c r="L46" s="254"/>
    </row>
    <row r="47" spans="2:12" ht="17.25" x14ac:dyDescent="0.25">
      <c r="B47" s="304" t="s">
        <v>368</v>
      </c>
      <c r="C47" s="305">
        <f>'Egyéni vállalkozó'!D27-Főlap!G47</f>
        <v>0</v>
      </c>
      <c r="D47" s="306">
        <f>'Egyéni vállalkozó'!D34</f>
        <v>0</v>
      </c>
      <c r="E47" s="306">
        <f>'Egyéni vállalkozó'!D31</f>
        <v>0</v>
      </c>
      <c r="F47" s="307">
        <f>SUM(C47:E47)</f>
        <v>0</v>
      </c>
      <c r="G47" s="395">
        <f>'Egyéni vállalkozó'!D9*'Egyéni vállalkozó'!D26</f>
        <v>600000</v>
      </c>
      <c r="H47" s="396"/>
      <c r="I47" s="397"/>
      <c r="J47" s="307">
        <f>SUM(G47:I47)</f>
        <v>600000</v>
      </c>
      <c r="K47" s="308">
        <f>F47+J47</f>
        <v>600000</v>
      </c>
      <c r="L47" s="254"/>
    </row>
    <row r="48" spans="2:12" ht="17.25" x14ac:dyDescent="0.25">
      <c r="B48" s="296" t="s">
        <v>369</v>
      </c>
      <c r="C48" s="386">
        <f>'Társas vállalkozó'!D38</f>
        <v>0</v>
      </c>
      <c r="D48" s="387"/>
      <c r="E48" s="309">
        <f>'Társas vállalkozó'!D42</f>
        <v>0</v>
      </c>
      <c r="F48" s="310">
        <f>SUM(C48:E48)</f>
        <v>0</v>
      </c>
      <c r="G48" s="311">
        <f>'Társas vállalkozó'!D46+'Társas vállalkozó'!D47+'Társas vállalkozó'!D48+'Társas vállalkozó'!D49+'Társas vállalkozó'!D50</f>
        <v>0</v>
      </c>
      <c r="H48" s="309">
        <f>'Társas vállalkozó'!D45+'Társas vállalkozó'!D51</f>
        <v>0</v>
      </c>
      <c r="I48" s="309">
        <f>'Társas vállalkozó'!D52</f>
        <v>0</v>
      </c>
      <c r="J48" s="310">
        <f>SUM(G48:I48)</f>
        <v>0</v>
      </c>
      <c r="K48" s="312">
        <f>F48+J48</f>
        <v>0</v>
      </c>
      <c r="L48" s="254"/>
    </row>
    <row r="49" spans="1:12" x14ac:dyDescent="0.25">
      <c r="B49" s="304" t="s">
        <v>370</v>
      </c>
      <c r="C49" s="305">
        <f>'Társas vállalkozó'!D64</f>
        <v>0</v>
      </c>
      <c r="D49" s="306">
        <f>'Társas vállalkozó'!D56</f>
        <v>0</v>
      </c>
      <c r="E49" s="306">
        <f>'Társas vállalkozó'!D59</f>
        <v>0</v>
      </c>
      <c r="F49" s="307">
        <f>SUM(C49:E49)</f>
        <v>0</v>
      </c>
      <c r="G49" s="305">
        <f>'Társas vállalkozó'!D68+'Társas vállalkozó'!D69+'Társas vállalkozó'!D70+'Társas vállalkozó'!D71+'Társas vállalkozó'!D72</f>
        <v>0</v>
      </c>
      <c r="H49" s="306">
        <f>'Társas vállalkozó'!D67+'Társas vállalkozó'!D73</f>
        <v>0</v>
      </c>
      <c r="I49" s="313">
        <f>'Társas vállalkozó'!D74</f>
        <v>0</v>
      </c>
      <c r="J49" s="314">
        <f>SUM(G49:I49)</f>
        <v>0</v>
      </c>
      <c r="K49" s="308">
        <f>F49+J49</f>
        <v>0</v>
      </c>
      <c r="L49" s="254"/>
    </row>
    <row r="50" spans="1:12" s="255" customFormat="1" ht="18" thickBot="1" x14ac:dyDescent="0.3">
      <c r="A50" s="253"/>
      <c r="B50" s="315" t="s">
        <v>371</v>
      </c>
      <c r="C50" s="316">
        <f>'Társas vállalkozó'!D76-Főlap!G50</f>
        <v>0</v>
      </c>
      <c r="D50" s="317">
        <f>'Társas vállalkozó'!D81</f>
        <v>0</v>
      </c>
      <c r="E50" s="317">
        <f>'Társas vállalkozó'!D80</f>
        <v>0</v>
      </c>
      <c r="F50" s="318">
        <f>SUM(C50:E50)</f>
        <v>0</v>
      </c>
      <c r="G50" s="380">
        <f>(('Társas vállalkozó'!D25-'Társas vállalkozó'!D26)*KATA_főállású+'Társas vállalkozó'!D26*KATA_emelt+'Társas vállalkozó'!D27*KATA_mellékállású)*12</f>
        <v>600000</v>
      </c>
      <c r="H50" s="381"/>
      <c r="I50" s="382"/>
      <c r="J50" s="318">
        <f>SUM(G50:I50)</f>
        <v>600000</v>
      </c>
      <c r="K50" s="319">
        <f>F50+J50</f>
        <v>600000</v>
      </c>
      <c r="L50" s="254"/>
    </row>
    <row r="51" spans="1:12" ht="6" customHeight="1" x14ac:dyDescent="0.25">
      <c r="B51" s="409"/>
      <c r="C51" s="409"/>
      <c r="D51" s="409"/>
      <c r="E51" s="409"/>
      <c r="F51" s="409"/>
      <c r="G51" s="409"/>
      <c r="H51" s="409"/>
      <c r="I51" s="409"/>
      <c r="J51" s="409"/>
      <c r="K51" s="409"/>
      <c r="L51" s="254"/>
    </row>
    <row r="52" spans="1:12" ht="63" customHeight="1" x14ac:dyDescent="0.25">
      <c r="B52" s="385" t="s">
        <v>218</v>
      </c>
      <c r="C52" s="385"/>
      <c r="D52" s="385"/>
      <c r="E52" s="385"/>
      <c r="F52" s="385"/>
      <c r="G52" s="385"/>
      <c r="H52" s="385"/>
      <c r="I52" s="320"/>
      <c r="J52" s="320"/>
      <c r="K52" s="320"/>
      <c r="L52" s="254"/>
    </row>
    <row r="53" spans="1:12" ht="93.75" customHeight="1" x14ac:dyDescent="0.25">
      <c r="B53" s="352" t="s">
        <v>173</v>
      </c>
      <c r="C53" s="352"/>
      <c r="D53" s="352"/>
      <c r="E53" s="352"/>
      <c r="F53" s="352"/>
      <c r="G53" s="352"/>
      <c r="H53" s="352"/>
      <c r="I53" s="321"/>
      <c r="J53" s="321"/>
      <c r="K53" s="321"/>
      <c r="L53" s="254"/>
    </row>
    <row r="54" spans="1:12" ht="45.75" customHeight="1" x14ac:dyDescent="0.25">
      <c r="B54" s="353" t="s">
        <v>261</v>
      </c>
      <c r="C54" s="353"/>
      <c r="D54" s="353"/>
      <c r="E54" s="353"/>
      <c r="F54" s="353"/>
      <c r="G54" s="353"/>
      <c r="H54" s="353"/>
      <c r="I54" s="322"/>
      <c r="J54" s="322"/>
      <c r="K54" s="322"/>
      <c r="L54" s="254"/>
    </row>
    <row r="55" spans="1:12" ht="61.5" customHeight="1" x14ac:dyDescent="0.25">
      <c r="B55" s="353" t="s">
        <v>219</v>
      </c>
      <c r="C55" s="353"/>
      <c r="D55" s="353"/>
      <c r="E55" s="353"/>
      <c r="F55" s="353"/>
      <c r="G55" s="353"/>
      <c r="H55" s="353"/>
      <c r="I55" s="322"/>
      <c r="J55" s="322"/>
      <c r="K55" s="322"/>
      <c r="L55" s="254"/>
    </row>
    <row r="56" spans="1:12" ht="36" customHeight="1" x14ac:dyDescent="0.25">
      <c r="B56" s="353" t="s">
        <v>402</v>
      </c>
      <c r="C56" s="353"/>
      <c r="D56" s="353"/>
      <c r="E56" s="353"/>
      <c r="F56" s="353"/>
      <c r="G56" s="353"/>
      <c r="H56" s="353"/>
      <c r="I56" s="322"/>
      <c r="J56" s="322"/>
      <c r="K56" s="322"/>
      <c r="L56" s="254"/>
    </row>
    <row r="57" spans="1:12" ht="65.25" customHeight="1" x14ac:dyDescent="0.25">
      <c r="B57" s="353" t="s">
        <v>220</v>
      </c>
      <c r="C57" s="353"/>
      <c r="D57" s="353"/>
      <c r="E57" s="353"/>
      <c r="F57" s="353"/>
      <c r="G57" s="353"/>
      <c r="H57" s="353"/>
      <c r="I57" s="322"/>
      <c r="J57" s="322"/>
      <c r="K57" s="322"/>
      <c r="L57" s="254"/>
    </row>
    <row r="58" spans="1:12" ht="36.75" customHeight="1" x14ac:dyDescent="0.25">
      <c r="B58" s="353" t="s">
        <v>320</v>
      </c>
      <c r="C58" s="353"/>
      <c r="D58" s="353"/>
      <c r="E58" s="353"/>
      <c r="F58" s="353"/>
      <c r="G58" s="353"/>
      <c r="H58" s="353"/>
      <c r="I58" s="323"/>
      <c r="J58" s="323"/>
      <c r="K58" s="323"/>
      <c r="L58" s="254"/>
    </row>
    <row r="59" spans="1:12" s="255" customFormat="1" ht="31.5" customHeight="1" x14ac:dyDescent="0.25">
      <c r="A59" s="253"/>
      <c r="B59" s="353" t="s">
        <v>374</v>
      </c>
      <c r="C59" s="353"/>
      <c r="D59" s="353"/>
      <c r="E59" s="353"/>
      <c r="F59" s="353"/>
      <c r="G59" s="353"/>
      <c r="H59" s="353"/>
      <c r="I59" s="324"/>
      <c r="J59" s="324"/>
      <c r="K59" s="324"/>
      <c r="L59" s="254"/>
    </row>
    <row r="60" spans="1:12" ht="46.5" customHeight="1" x14ac:dyDescent="0.25">
      <c r="B60" s="349" t="s">
        <v>356</v>
      </c>
      <c r="C60" s="349"/>
      <c r="D60" s="349"/>
      <c r="E60" s="349"/>
      <c r="F60" s="349"/>
      <c r="G60" s="349"/>
      <c r="H60" s="349"/>
      <c r="I60" s="250"/>
      <c r="J60" s="250"/>
      <c r="K60" s="250"/>
      <c r="L60" s="254"/>
    </row>
    <row r="61" spans="1:12" ht="33.75" customHeight="1" x14ac:dyDescent="0.25">
      <c r="B61" s="350" t="s">
        <v>176</v>
      </c>
      <c r="C61" s="350"/>
      <c r="D61" s="350"/>
      <c r="E61" s="350"/>
      <c r="F61" s="350"/>
      <c r="G61" s="350"/>
      <c r="H61" s="350"/>
      <c r="I61" s="250"/>
      <c r="J61" s="250"/>
      <c r="K61" s="250"/>
      <c r="L61" s="254"/>
    </row>
    <row r="62" spans="1:12" x14ac:dyDescent="0.25">
      <c r="B62" s="351" t="s">
        <v>386</v>
      </c>
      <c r="C62" s="351"/>
      <c r="D62" s="351"/>
      <c r="E62" s="351"/>
      <c r="F62" s="351"/>
      <c r="G62" s="351"/>
      <c r="H62" s="351"/>
      <c r="I62" s="325"/>
      <c r="J62" s="325"/>
      <c r="K62" s="325"/>
      <c r="L62" s="254"/>
    </row>
    <row r="63" spans="1:12" ht="92.25" customHeight="1" x14ac:dyDescent="0.25">
      <c r="B63" s="352" t="s">
        <v>399</v>
      </c>
      <c r="C63" s="352"/>
      <c r="D63" s="352"/>
      <c r="E63" s="352"/>
      <c r="F63" s="352"/>
      <c r="G63" s="352"/>
      <c r="H63" s="352"/>
      <c r="I63" s="326"/>
      <c r="J63" s="326"/>
      <c r="K63" s="326"/>
      <c r="L63" s="254"/>
    </row>
    <row r="64" spans="1:12" ht="78" customHeight="1" x14ac:dyDescent="0.25">
      <c r="B64" s="401" t="s">
        <v>221</v>
      </c>
      <c r="C64" s="401"/>
      <c r="D64" s="401"/>
      <c r="E64" s="401"/>
      <c r="F64" s="401"/>
      <c r="G64" s="401"/>
      <c r="H64" s="401"/>
      <c r="I64" s="327"/>
      <c r="J64" s="327"/>
      <c r="K64" s="327"/>
      <c r="L64" s="254"/>
    </row>
    <row r="65" spans="2:12" ht="30" customHeight="1" x14ac:dyDescent="0.25">
      <c r="B65" s="351" t="s">
        <v>387</v>
      </c>
      <c r="C65" s="351"/>
      <c r="D65" s="351"/>
      <c r="E65" s="351"/>
      <c r="F65" s="351"/>
      <c r="G65" s="351"/>
      <c r="H65" s="351"/>
      <c r="I65" s="320"/>
      <c r="J65" s="320"/>
      <c r="K65" s="320"/>
      <c r="L65" s="254"/>
    </row>
    <row r="66" spans="2:12" ht="93.75" customHeight="1" x14ac:dyDescent="0.25">
      <c r="B66" s="351" t="s">
        <v>403</v>
      </c>
      <c r="C66" s="351"/>
      <c r="D66" s="351"/>
      <c r="E66" s="351"/>
      <c r="F66" s="351"/>
      <c r="G66" s="351"/>
      <c r="H66" s="351"/>
      <c r="I66" s="328"/>
      <c r="J66" s="328"/>
      <c r="K66" s="328"/>
      <c r="L66" s="254"/>
    </row>
    <row r="67" spans="2:12" ht="36" customHeight="1" x14ac:dyDescent="0.25">
      <c r="B67" s="353" t="s">
        <v>321</v>
      </c>
      <c r="C67" s="353"/>
      <c r="D67" s="353"/>
      <c r="E67" s="353"/>
      <c r="F67" s="353"/>
      <c r="G67" s="353"/>
      <c r="H67" s="353"/>
      <c r="I67" s="329"/>
      <c r="J67" s="329"/>
      <c r="K67" s="329"/>
      <c r="L67" s="254"/>
    </row>
    <row r="68" spans="2:12" ht="24.75" customHeight="1" x14ac:dyDescent="0.25">
      <c r="B68" s="353" t="s">
        <v>322</v>
      </c>
      <c r="C68" s="353"/>
      <c r="D68" s="353"/>
      <c r="E68" s="353"/>
      <c r="F68" s="353"/>
      <c r="G68" s="353"/>
      <c r="H68" s="353"/>
      <c r="I68" s="329"/>
      <c r="J68" s="329"/>
      <c r="K68" s="329"/>
      <c r="L68" s="254"/>
    </row>
    <row r="69" spans="2:12" ht="36" customHeight="1" x14ac:dyDescent="0.25">
      <c r="B69" s="399" t="s">
        <v>350</v>
      </c>
      <c r="C69" s="399"/>
      <c r="D69" s="399"/>
      <c r="E69" s="399"/>
      <c r="F69" s="399"/>
      <c r="G69" s="399"/>
      <c r="H69" s="399"/>
      <c r="I69" s="329"/>
      <c r="J69" s="329"/>
      <c r="K69" s="329"/>
      <c r="L69" s="254"/>
    </row>
    <row r="70" spans="2:12" x14ac:dyDescent="0.25"/>
    <row r="71" spans="2:12" hidden="1" x14ac:dyDescent="0.25"/>
    <row r="72" spans="2:12" hidden="1" x14ac:dyDescent="0.25"/>
    <row r="73" spans="2:12" hidden="1" x14ac:dyDescent="0.25"/>
    <row r="74" spans="2:12" hidden="1" x14ac:dyDescent="0.25"/>
    <row r="75" spans="2:12" hidden="1" x14ac:dyDescent="0.25"/>
    <row r="76" spans="2:12" hidden="1" x14ac:dyDescent="0.25"/>
    <row r="77" spans="2:12" hidden="1" x14ac:dyDescent="0.25"/>
    <row r="78" spans="2:12" hidden="1" x14ac:dyDescent="0.25"/>
    <row r="79" spans="2:12" hidden="1" x14ac:dyDescent="0.25"/>
    <row r="80" spans="2:12"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sheetData>
  <sheetProtection password="9242" sheet="1" objects="1" scenarios="1"/>
  <protectedRanges>
    <protectedRange sqref="E36:I39" name="Range4"/>
    <protectedRange sqref="E21" name="Range3"/>
    <protectedRange sqref="E22:I30" name="Range2"/>
    <protectedRange sqref="E8:E14" name="Range1"/>
  </protectedRanges>
  <mergeCells count="56">
    <mergeCell ref="B69:H69"/>
    <mergeCell ref="B2:H2"/>
    <mergeCell ref="B64:H64"/>
    <mergeCell ref="B65:H65"/>
    <mergeCell ref="B66:H66"/>
    <mergeCell ref="B67:H67"/>
    <mergeCell ref="B23:D23"/>
    <mergeCell ref="B24:D24"/>
    <mergeCell ref="B10:D10"/>
    <mergeCell ref="B12:D12"/>
    <mergeCell ref="B25:D25"/>
    <mergeCell ref="B51:K51"/>
    <mergeCell ref="B35:D35"/>
    <mergeCell ref="B26:D26"/>
    <mergeCell ref="B27:D27"/>
    <mergeCell ref="B28:D28"/>
    <mergeCell ref="B68:H68"/>
    <mergeCell ref="B3:H3"/>
    <mergeCell ref="B52:H52"/>
    <mergeCell ref="B53:H53"/>
    <mergeCell ref="B54:H54"/>
    <mergeCell ref="B55:H55"/>
    <mergeCell ref="C48:D48"/>
    <mergeCell ref="C43:F43"/>
    <mergeCell ref="G43:J43"/>
    <mergeCell ref="B6:C6"/>
    <mergeCell ref="B4:K4"/>
    <mergeCell ref="B19:I19"/>
    <mergeCell ref="B29:D29"/>
    <mergeCell ref="G47:I47"/>
    <mergeCell ref="B20:D20"/>
    <mergeCell ref="B11:D11"/>
    <mergeCell ref="B13:D13"/>
    <mergeCell ref="B8:D8"/>
    <mergeCell ref="B22:D22"/>
    <mergeCell ref="B9:D9"/>
    <mergeCell ref="G50:I50"/>
    <mergeCell ref="B14:D14"/>
    <mergeCell ref="B56:H56"/>
    <mergeCell ref="B57:H57"/>
    <mergeCell ref="B58:H58"/>
    <mergeCell ref="B33:I33"/>
    <mergeCell ref="B21:D21"/>
    <mergeCell ref="B30:D30"/>
    <mergeCell ref="K43:K44"/>
    <mergeCell ref="B43:B44"/>
    <mergeCell ref="B36:D36"/>
    <mergeCell ref="B37:D37"/>
    <mergeCell ref="B38:D38"/>
    <mergeCell ref="B39:D39"/>
    <mergeCell ref="B41:K41"/>
    <mergeCell ref="B60:H60"/>
    <mergeCell ref="B61:H61"/>
    <mergeCell ref="B62:H62"/>
    <mergeCell ref="B63:H63"/>
    <mergeCell ref="B59:H59"/>
  </mergeCells>
  <dataValidations count="5">
    <dataValidation type="decimal" allowBlank="1" showInputMessage="1" showErrorMessage="1" errorTitle="Kérjük, javítsa a bevitt adatot!" error="Az iparűzési adó kulcsa legfeljebb 2% lehet." sqref="E14">
      <formula1>0</formula1>
      <formula2>0.02</formula2>
    </dataValidation>
    <dataValidation type="list" allowBlank="1" showInputMessage="1" showErrorMessage="1" sqref="E39:I39">
      <formula1>INDIRECT("Szochokedvezmények[[Típus]]")</formula1>
    </dataValidation>
    <dataValidation type="list" allowBlank="1" showInputMessage="1" showErrorMessage="1" sqref="E38:I38 E25:I28">
      <formula1>INDIRECT("Igen_Nem")</formula1>
    </dataValidation>
    <dataValidation type="whole" allowBlank="1" showInputMessage="1" showErrorMessage="1" errorTitle="A hónapok száma hibás" error="Az aktív hónapok száma 1 és 12 közé eső egész szám lehet, illetve üresen hagyhatja a cellát." sqref="E36:I36 E21">
      <formula1>1</formula1>
      <formula2>12</formula2>
    </dataValidation>
    <dataValidation type="list" allowBlank="1" showInputMessage="1" showErrorMessage="1" promptTitle="MELLÉKÁLLÁSBAN NEM VÁLASZTHATJA" prompt="Amennyiben Ön mellékállásban (pl. nyugdíjasként) végzi tevékenységét, kérjük, ne állítson be &quot;Igen&quot;-t ebben a sorban, mert nem jogosult emelt összegű kata fizetésére." sqref="E29:I29">
      <formula1>INDIRECT("Igen_Nem")</formula1>
    </dataValidation>
  </dataValidations>
  <pageMargins left="0.7" right="0.7" top="0.75" bottom="0.75" header="0.3" footer="0.3"/>
  <pageSetup paperSize="9" orientation="portrait" r:id="rId1"/>
  <ignoredErrors>
    <ignoredError sqref="F46 J46:K46" formula="1"/>
  </ignoredErrors>
  <extLst>
    <ext xmlns:x14="http://schemas.microsoft.com/office/spreadsheetml/2009/9/main" uri="{78C0D931-6437-407d-A8EE-F0AAD7539E65}">
      <x14:conditionalFormattings>
        <x14:conditionalFormatting xmlns:xm="http://schemas.microsoft.com/office/excel/2006/main">
          <x14:cfRule type="expression" priority="10" id="{C71794FA-18DE-4B48-95F4-1482D629D5F7}">
            <xm:f>$E$8='listák, paraméterek'!$A$2</xm:f>
            <x14:dxf>
              <font>
                <color theme="0" tint="-0.24994659260841701"/>
              </font>
              <fill>
                <patternFill patternType="lightDown"/>
              </fill>
            </x14:dxf>
          </x14:cfRule>
          <xm:sqref>F20:I20 F23:I29 B13:E13 B48:K50</xm:sqref>
        </x14:conditionalFormatting>
        <x14:conditionalFormatting xmlns:xm="http://schemas.microsoft.com/office/excel/2006/main">
          <x14:cfRule type="expression" priority="7" id="{9EF0AC6B-DA81-47F5-9651-47C09A6A2953}">
            <xm:f>$E$8='listák, paraméterek'!$A$3</xm:f>
            <x14:dxf>
              <font>
                <color theme="0" tint="-0.24994659260841701"/>
              </font>
              <fill>
                <patternFill patternType="lightDown"/>
              </fill>
            </x14:dxf>
          </x14:cfRule>
          <xm:sqref>B45:K47 J49</xm:sqref>
        </x14:conditionalFormatting>
        <x14:conditionalFormatting xmlns:xm="http://schemas.microsoft.com/office/excel/2006/main">
          <x14:cfRule type="expression" priority="4" id="{CD8A56E9-6416-42FA-B821-F5D8BBD3C6B3}">
            <xm:f>$E$8='listák, paraméterek'!$A$3</xm:f>
            <x14:dxf>
              <font>
                <color theme="0" tint="-0.24994659260841701"/>
              </font>
              <fill>
                <patternFill patternType="lightDown">
                  <bgColor auto="1"/>
                </patternFill>
              </fill>
            </x14:dxf>
          </x14:cfRule>
          <xm:sqref>B21:I21</xm:sqref>
        </x14:conditionalFormatting>
        <x14:conditionalFormatting xmlns:xm="http://schemas.microsoft.com/office/excel/2006/main">
          <x14:cfRule type="expression" priority="3" id="{20B36BB1-69A9-4051-A600-C40BDB2D279D}">
            <xm:f>$E$8='listák, paraméterek'!$A$2</xm:f>
            <x14:dxf>
              <font>
                <color theme="0" tint="-0.24994659260841701"/>
              </font>
              <fill>
                <patternFill patternType="lightDown"/>
              </fill>
            </x14:dxf>
          </x14:cfRule>
          <xm:sqref>B30:I30</xm:sqref>
        </x14:conditionalFormatting>
        <x14:conditionalFormatting xmlns:xm="http://schemas.microsoft.com/office/excel/2006/main">
          <x14:cfRule type="expression" priority="2" id="{F1C135CE-7DA7-4376-9883-D0E2CD6E7D90}">
            <xm:f>$E$8='listák, paraméterek'!$A$2</xm:f>
            <x14:dxf>
              <font>
                <strike val="0"/>
                <color theme="0" tint="-0.24994659260841701"/>
              </font>
              <fill>
                <patternFill patternType="lightDown"/>
              </fill>
            </x14:dxf>
          </x14:cfRule>
          <xm:sqref>B22:I22</xm:sqref>
        </x14:conditionalFormatting>
        <x14:conditionalFormatting xmlns:xm="http://schemas.microsoft.com/office/excel/2006/main">
          <x14:cfRule type="expression" priority="1" id="{94D301E0-0D9E-4688-AA29-DB57F30E1FC3}">
            <xm:f>$E$8='listák, paraméterek'!$A$1</xm:f>
            <x14:dxf>
              <font>
                <strike val="0"/>
                <color theme="0" tint="-0.24994659260841701"/>
              </font>
              <fill>
                <patternFill patternType="lightDown"/>
              </fill>
            </x14:dxf>
          </x14:cfRule>
          <xm:sqref>E9:E14 E36:I39 C45:K50 E21:I30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'listák, paraméterek'!$A$1:$A$3</xm:f>
          </x14:formula1>
          <xm:sqref>E8</xm:sqref>
        </x14:dataValidation>
        <x14:dataValidation type="list" allowBlank="1" showInputMessage="1" showErrorMessage="1">
          <x14:formula1>
            <xm:f>'listák, paraméterek'!$A$5:$A$7</xm:f>
          </x14:formula1>
          <xm:sqref>E22:I22</xm:sqref>
        </x14:dataValidation>
        <x14:dataValidation type="custom" errorStyle="warning" allowBlank="1" showInputMessage="1" showErrorMessage="1" errorTitle="Ellenőrizze a feltételeket!" error="A tagi részesedések értéke 0% és 100% közé essen és összege 100% legyen.">
          <x14:formula1>
            <xm:f>'háttér kalkulátor'!E130=TRUE</xm:f>
          </x14:formula1>
          <xm:sqref>E30:I30</xm:sqref>
        </x14:dataValidation>
        <x14:dataValidation type="custom" errorStyle="warning" operator="equal" allowBlank="1" showErrorMessage="1" errorTitle="A megadott osztalék túl magas" error="Állítsa az osztalék összegét kisebbre, mert az jelenleg – a kisvállalati adó vagy a társasági adó hatálya alatt – több, mint a vállalkozása adózott eredménye!">
          <x14:formula1>
            <xm:f>('háttér kalkulátor'!E125=FALSE)</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31"/>
  <sheetViews>
    <sheetView zoomScale="85" zoomScaleNormal="85" workbookViewId="0"/>
  </sheetViews>
  <sheetFormatPr defaultColWidth="0" defaultRowHeight="15" zeroHeight="1" x14ac:dyDescent="0.25"/>
  <cols>
    <col min="1" max="1" width="5.7109375" style="255" customWidth="1"/>
    <col min="2" max="2" width="3.42578125" style="255" customWidth="1"/>
    <col min="3" max="3" width="131.42578125" style="255" customWidth="1"/>
    <col min="4" max="4" width="21.140625" style="255" customWidth="1"/>
    <col min="5" max="5" width="6" style="255" customWidth="1"/>
    <col min="6" max="6" width="13.7109375" style="255" hidden="1" customWidth="1"/>
    <col min="7" max="7" width="9.140625" style="255" hidden="1" customWidth="1"/>
    <col min="8" max="8" width="12.5703125" style="255" hidden="1" customWidth="1"/>
    <col min="9" max="9" width="9.140625" style="255" hidden="1" customWidth="1"/>
    <col min="10" max="10" width="9.85546875" style="255" hidden="1" customWidth="1"/>
    <col min="11" max="11" width="9.140625" style="255" hidden="1" customWidth="1"/>
    <col min="12" max="16384" width="9.140625" style="255" hidden="1"/>
  </cols>
  <sheetData>
    <row r="1" spans="1:5" ht="30.75" customHeight="1" x14ac:dyDescent="0.25">
      <c r="A1" s="254"/>
      <c r="B1" s="429" t="s">
        <v>397</v>
      </c>
      <c r="C1" s="429"/>
      <c r="D1" s="429"/>
      <c r="E1" s="254"/>
    </row>
    <row r="2" spans="1:5" ht="37.5" customHeight="1" x14ac:dyDescent="0.3">
      <c r="A2" s="254"/>
      <c r="B2" s="430" t="s">
        <v>90</v>
      </c>
      <c r="C2" s="431"/>
      <c r="D2" s="431"/>
      <c r="E2" s="254"/>
    </row>
    <row r="3" spans="1:5" ht="12" customHeight="1" x14ac:dyDescent="0.25">
      <c r="A3" s="254"/>
      <c r="B3" s="432"/>
      <c r="C3" s="432"/>
      <c r="D3" s="432"/>
      <c r="E3" s="254"/>
    </row>
    <row r="4" spans="1:5" ht="132.75" customHeight="1" x14ac:dyDescent="0.25">
      <c r="A4" s="254"/>
      <c r="B4" s="433" t="s">
        <v>175</v>
      </c>
      <c r="C4" s="433"/>
      <c r="D4" s="433"/>
      <c r="E4" s="254"/>
    </row>
    <row r="5" spans="1:5" ht="52.5" customHeight="1" x14ac:dyDescent="0.25">
      <c r="A5" s="254"/>
      <c r="B5" s="434" t="s">
        <v>223</v>
      </c>
      <c r="C5" s="434"/>
      <c r="D5" s="434"/>
      <c r="E5" s="254"/>
    </row>
    <row r="6" spans="1:5" ht="6.75" customHeight="1" x14ac:dyDescent="0.25">
      <c r="A6" s="254"/>
      <c r="B6" s="251"/>
      <c r="C6" s="252"/>
      <c r="D6" s="252"/>
      <c r="E6" s="254"/>
    </row>
    <row r="7" spans="1:5" ht="21" x14ac:dyDescent="0.25">
      <c r="A7" s="254"/>
      <c r="B7" s="418" t="s">
        <v>122</v>
      </c>
      <c r="C7" s="419"/>
      <c r="D7" s="68" t="s">
        <v>24</v>
      </c>
      <c r="E7" s="254"/>
    </row>
    <row r="8" spans="1:5" x14ac:dyDescent="0.25">
      <c r="A8" s="254"/>
      <c r="B8" s="415" t="s">
        <v>25</v>
      </c>
      <c r="C8" s="416"/>
      <c r="D8" s="417"/>
      <c r="E8" s="254"/>
    </row>
    <row r="9" spans="1:5" x14ac:dyDescent="0.25">
      <c r="A9" s="254"/>
      <c r="B9" s="16" t="s">
        <v>139</v>
      </c>
      <c r="C9" s="13" t="s">
        <v>17</v>
      </c>
      <c r="D9" s="330">
        <f>Főlap!E21</f>
        <v>12</v>
      </c>
      <c r="E9" s="254"/>
    </row>
    <row r="10" spans="1:5" x14ac:dyDescent="0.25">
      <c r="A10" s="254"/>
      <c r="B10" s="14" t="s">
        <v>141</v>
      </c>
      <c r="C10" s="2" t="s">
        <v>0</v>
      </c>
      <c r="D10" s="331">
        <f>Főlap!E9</f>
        <v>0</v>
      </c>
      <c r="E10" s="254"/>
    </row>
    <row r="11" spans="1:5" x14ac:dyDescent="0.25">
      <c r="A11" s="254"/>
      <c r="B11" s="14" t="s">
        <v>126</v>
      </c>
      <c r="C11" s="2" t="s">
        <v>29</v>
      </c>
      <c r="D11" s="332">
        <v>0</v>
      </c>
      <c r="E11" s="254"/>
    </row>
    <row r="12" spans="1:5" x14ac:dyDescent="0.25">
      <c r="A12" s="254"/>
      <c r="B12" s="14" t="s">
        <v>26</v>
      </c>
      <c r="C12" s="4" t="s">
        <v>263</v>
      </c>
      <c r="D12" s="331">
        <f>Főlap!E10</f>
        <v>0</v>
      </c>
      <c r="E12" s="254"/>
    </row>
    <row r="13" spans="1:5" x14ac:dyDescent="0.25">
      <c r="A13" s="254"/>
      <c r="B13" s="14" t="s">
        <v>27</v>
      </c>
      <c r="C13" s="5" t="s">
        <v>132</v>
      </c>
      <c r="D13" s="333">
        <f>'háttér kalkulátor'!J9</f>
        <v>0</v>
      </c>
      <c r="E13" s="254"/>
    </row>
    <row r="14" spans="1:5" x14ac:dyDescent="0.25">
      <c r="A14" s="254"/>
      <c r="B14" s="14" t="s">
        <v>159</v>
      </c>
      <c r="C14" s="5" t="s">
        <v>142</v>
      </c>
      <c r="D14" s="332">
        <v>0</v>
      </c>
      <c r="E14" s="254"/>
    </row>
    <row r="15" spans="1:5" x14ac:dyDescent="0.25">
      <c r="A15" s="254"/>
      <c r="B15" s="14" t="s">
        <v>160</v>
      </c>
      <c r="C15" s="5" t="s">
        <v>36</v>
      </c>
      <c r="D15" s="332">
        <v>0</v>
      </c>
      <c r="E15" s="254"/>
    </row>
    <row r="16" spans="1:5" x14ac:dyDescent="0.25">
      <c r="A16" s="254"/>
      <c r="B16" s="14" t="s">
        <v>30</v>
      </c>
      <c r="C16" s="7" t="s">
        <v>121</v>
      </c>
      <c r="D16" s="333">
        <f>'háttér kalkulátor'!E32</f>
        <v>0</v>
      </c>
      <c r="E16" s="254"/>
    </row>
    <row r="17" spans="1:5" ht="17.25" x14ac:dyDescent="0.25">
      <c r="A17" s="254"/>
      <c r="B17" s="14" t="s">
        <v>31</v>
      </c>
      <c r="C17" s="6" t="s">
        <v>325</v>
      </c>
      <c r="D17" s="331">
        <f>Főlap!E11</f>
        <v>0</v>
      </c>
      <c r="E17" s="254"/>
    </row>
    <row r="18" spans="1:5" x14ac:dyDescent="0.25">
      <c r="A18" s="254"/>
      <c r="B18" s="14" t="s">
        <v>32</v>
      </c>
      <c r="C18" s="6" t="s">
        <v>42</v>
      </c>
      <c r="D18" s="331" t="str">
        <f>Főlap!E12</f>
        <v>`</v>
      </c>
      <c r="E18" s="254"/>
    </row>
    <row r="19" spans="1:5" x14ac:dyDescent="0.25">
      <c r="A19" s="254"/>
      <c r="B19" s="420" t="s">
        <v>48</v>
      </c>
      <c r="C19" s="420"/>
      <c r="D19" s="420"/>
      <c r="E19" s="254"/>
    </row>
    <row r="20" spans="1:5" x14ac:dyDescent="0.25">
      <c r="A20" s="254"/>
      <c r="B20" s="14" t="s">
        <v>33</v>
      </c>
      <c r="C20" s="3" t="s">
        <v>334</v>
      </c>
      <c r="D20" s="262">
        <v>0</v>
      </c>
      <c r="E20" s="254"/>
    </row>
    <row r="21" spans="1:5" ht="54" x14ac:dyDescent="0.25">
      <c r="A21" s="254"/>
      <c r="B21" s="14" t="s">
        <v>34</v>
      </c>
      <c r="C21" s="334" t="s">
        <v>381</v>
      </c>
      <c r="D21" s="54">
        <v>0.4</v>
      </c>
      <c r="E21" s="254"/>
    </row>
    <row r="22" spans="1:5" ht="15" customHeight="1" x14ac:dyDescent="0.25">
      <c r="A22" s="254"/>
      <c r="B22" s="14" t="s">
        <v>35</v>
      </c>
      <c r="C22" s="335" t="s">
        <v>290</v>
      </c>
      <c r="D22" s="33">
        <f>VLOOKUP(D21,Átalányadókulcsok[],2)</f>
        <v>0.25</v>
      </c>
      <c r="E22" s="254"/>
    </row>
    <row r="23" spans="1:5" ht="15.75" thickBot="1" x14ac:dyDescent="0.3">
      <c r="A23" s="254"/>
      <c r="B23" s="16" t="s">
        <v>37</v>
      </c>
      <c r="C23" s="13" t="s">
        <v>50</v>
      </c>
      <c r="D23" s="336">
        <f>Főlap!E14</f>
        <v>0.02</v>
      </c>
      <c r="E23" s="254"/>
    </row>
    <row r="24" spans="1:5" ht="21.75" thickBot="1" x14ac:dyDescent="0.3">
      <c r="A24" s="254"/>
      <c r="B24" s="421" t="s">
        <v>395</v>
      </c>
      <c r="C24" s="422"/>
      <c r="D24" s="17">
        <f>D27+D31+D34</f>
        <v>600000</v>
      </c>
      <c r="E24" s="254"/>
    </row>
    <row r="25" spans="1:5" ht="23.25" customHeight="1" x14ac:dyDescent="0.25">
      <c r="A25" s="254"/>
      <c r="B25" s="426" t="s">
        <v>146</v>
      </c>
      <c r="C25" s="416"/>
      <c r="D25" s="427"/>
      <c r="E25" s="254"/>
    </row>
    <row r="26" spans="1:5" ht="30" x14ac:dyDescent="0.25">
      <c r="A26" s="254"/>
      <c r="B26" s="16" t="s">
        <v>38</v>
      </c>
      <c r="C26" s="208" t="s">
        <v>388</v>
      </c>
      <c r="D26" s="331">
        <f>IF('háttér kalkulátor'!E133,KATA_mellékállású,IF('háttér kalkulátor'!E134,KATA_emelt,KATA_főállású))</f>
        <v>50000</v>
      </c>
      <c r="E26" s="254"/>
    </row>
    <row r="27" spans="1:5" ht="30" x14ac:dyDescent="0.25">
      <c r="A27" s="254"/>
      <c r="B27" s="44" t="s">
        <v>39</v>
      </c>
      <c r="C27" s="49" t="s">
        <v>283</v>
      </c>
      <c r="D27" s="160">
        <f>D9*D26+MAX(0,D10+D11-D9/12*KATA_bevételi_határ)*KATA_százalékos</f>
        <v>600000</v>
      </c>
      <c r="E27" s="254"/>
    </row>
    <row r="28" spans="1:5" ht="17.25" x14ac:dyDescent="0.25">
      <c r="A28" s="254"/>
      <c r="B28" s="16" t="s">
        <v>40</v>
      </c>
      <c r="C28" s="9" t="s">
        <v>284</v>
      </c>
      <c r="D28" s="161">
        <f>MAX(0,D10-D12)</f>
        <v>0</v>
      </c>
      <c r="E28" s="254"/>
    </row>
    <row r="29" spans="1:5" ht="30" x14ac:dyDescent="0.25">
      <c r="A29" s="254"/>
      <c r="B29" s="16" t="s">
        <v>41</v>
      </c>
      <c r="C29" s="9" t="s">
        <v>161</v>
      </c>
      <c r="D29" s="209">
        <f>IF(D10&lt;=Főlap!E21/12*8000000,D10*0.8,"nem választható")</f>
        <v>0</v>
      </c>
      <c r="E29" s="254"/>
    </row>
    <row r="30" spans="1:5" ht="17.25" x14ac:dyDescent="0.25">
      <c r="A30" s="254"/>
      <c r="B30" s="61" t="s">
        <v>43</v>
      </c>
      <c r="C30" s="8" t="s">
        <v>389</v>
      </c>
      <c r="D30" s="161">
        <f>D9/12*KATA_HIPA_alap</f>
        <v>2500000</v>
      </c>
      <c r="E30" s="254"/>
    </row>
    <row r="31" spans="1:5" ht="17.25" x14ac:dyDescent="0.25">
      <c r="A31" s="254"/>
      <c r="B31" s="44" t="s">
        <v>45</v>
      </c>
      <c r="C31" s="12" t="s">
        <v>285</v>
      </c>
      <c r="D31" s="162">
        <f>MIN(D28,D30)*D23</f>
        <v>0</v>
      </c>
      <c r="E31" s="254"/>
    </row>
    <row r="32" spans="1:5" ht="30" x14ac:dyDescent="0.25">
      <c r="A32" s="254"/>
      <c r="B32" s="16" t="s">
        <v>47</v>
      </c>
      <c r="C32" s="12" t="s">
        <v>162</v>
      </c>
      <c r="D32" s="163">
        <f>(D13+D14+D15*1.18)*Szocho+(D13)*Szakképzési_hozzájárulás</f>
        <v>0</v>
      </c>
      <c r="E32" s="254"/>
    </row>
    <row r="33" spans="1:5" ht="32.25" x14ac:dyDescent="0.25">
      <c r="A33" s="254"/>
      <c r="B33" s="16" t="s">
        <v>49</v>
      </c>
      <c r="C33" s="12" t="s">
        <v>286</v>
      </c>
      <c r="D33" s="163">
        <f>'háttér kalkulátor'!J14+'háttér kalkulátor'!J16+'Egyéni vállalkozó'!D20</f>
        <v>0</v>
      </c>
      <c r="E33" s="254"/>
    </row>
    <row r="34" spans="1:5" ht="15.75" thickBot="1" x14ac:dyDescent="0.3">
      <c r="A34" s="254"/>
      <c r="B34" s="44" t="s">
        <v>51</v>
      </c>
      <c r="C34" s="12" t="s">
        <v>287</v>
      </c>
      <c r="D34" s="162">
        <f>D32-D33</f>
        <v>0</v>
      </c>
      <c r="E34" s="254"/>
    </row>
    <row r="35" spans="1:5" ht="21.75" collapsed="1" thickBot="1" x14ac:dyDescent="0.3">
      <c r="A35" s="254"/>
      <c r="B35" s="421" t="s">
        <v>377</v>
      </c>
      <c r="C35" s="422"/>
      <c r="D35" s="17">
        <f>D49+D46+D37+D52+D57+D60+D61</f>
        <v>0</v>
      </c>
      <c r="E35" s="254"/>
    </row>
    <row r="36" spans="1:5" ht="23.25" customHeight="1" x14ac:dyDescent="0.25">
      <c r="A36" s="254"/>
      <c r="B36" s="423" t="s">
        <v>157</v>
      </c>
      <c r="C36" s="424"/>
      <c r="D36" s="425"/>
      <c r="E36" s="254"/>
    </row>
    <row r="37" spans="1:5" ht="17.25" x14ac:dyDescent="0.25">
      <c r="A37" s="254"/>
      <c r="B37" s="44" t="s">
        <v>52</v>
      </c>
      <c r="C37" s="11" t="s">
        <v>396</v>
      </c>
      <c r="D37" s="164">
        <f>SUM(D38:D43)</f>
        <v>0</v>
      </c>
      <c r="E37" s="254"/>
    </row>
    <row r="38" spans="1:5" x14ac:dyDescent="0.25">
      <c r="A38" s="254"/>
      <c r="B38" s="16" t="s">
        <v>53</v>
      </c>
      <c r="C38" s="12" t="s">
        <v>145</v>
      </c>
      <c r="D38" s="165">
        <f>'háttér kalkulátor'!E78</f>
        <v>0</v>
      </c>
      <c r="E38" s="254"/>
    </row>
    <row r="39" spans="1:5" x14ac:dyDescent="0.25">
      <c r="A39" s="254"/>
      <c r="B39" s="16" t="s">
        <v>54</v>
      </c>
      <c r="C39" s="47" t="s">
        <v>119</v>
      </c>
      <c r="D39" s="165">
        <f>'háttér kalkulátor'!E84</f>
        <v>0</v>
      </c>
      <c r="E39" s="254"/>
    </row>
    <row r="40" spans="1:5" x14ac:dyDescent="0.25">
      <c r="A40" s="254"/>
      <c r="B40" s="16" t="s">
        <v>55</v>
      </c>
      <c r="C40" s="47" t="s">
        <v>152</v>
      </c>
      <c r="D40" s="165">
        <f>'háttér kalkulátor'!E85</f>
        <v>0</v>
      </c>
      <c r="E40" s="254"/>
    </row>
    <row r="41" spans="1:5" x14ac:dyDescent="0.25">
      <c r="A41" s="254"/>
      <c r="B41" s="16" t="s">
        <v>56</v>
      </c>
      <c r="C41" s="47" t="s">
        <v>153</v>
      </c>
      <c r="D41" s="165">
        <f>'háttér kalkulátor'!E86</f>
        <v>0</v>
      </c>
      <c r="E41" s="254"/>
    </row>
    <row r="42" spans="1:5" x14ac:dyDescent="0.25">
      <c r="A42" s="254"/>
      <c r="B42" s="16" t="s">
        <v>57</v>
      </c>
      <c r="C42" s="47" t="s">
        <v>120</v>
      </c>
      <c r="D42" s="165">
        <f>'háttér kalkulátor'!E71</f>
        <v>0</v>
      </c>
      <c r="E42" s="254"/>
    </row>
    <row r="43" spans="1:5" x14ac:dyDescent="0.25">
      <c r="A43" s="254"/>
      <c r="B43" s="16" t="s">
        <v>58</v>
      </c>
      <c r="C43" s="3" t="s">
        <v>109</v>
      </c>
      <c r="D43" s="165">
        <f>'háttér kalkulátor'!E72</f>
        <v>0</v>
      </c>
      <c r="E43" s="254"/>
    </row>
    <row r="44" spans="1:5" ht="21.75" customHeight="1" x14ac:dyDescent="0.25">
      <c r="A44" s="254"/>
      <c r="B44" s="426" t="s">
        <v>146</v>
      </c>
      <c r="C44" s="416"/>
      <c r="D44" s="427"/>
      <c r="E44" s="254"/>
    </row>
    <row r="45" spans="1:5" ht="17.25" x14ac:dyDescent="0.25">
      <c r="A45" s="254"/>
      <c r="B45" s="15" t="s">
        <v>59</v>
      </c>
      <c r="C45" s="7" t="s">
        <v>291</v>
      </c>
      <c r="D45" s="333">
        <f>'háttér kalkulátor'!E55</f>
        <v>0</v>
      </c>
      <c r="E45" s="254"/>
    </row>
    <row r="46" spans="1:5" ht="30.75" customHeight="1" x14ac:dyDescent="0.25">
      <c r="A46" s="254"/>
      <c r="B46" s="60" t="s">
        <v>60</v>
      </c>
      <c r="C46" s="59" t="s">
        <v>292</v>
      </c>
      <c r="D46" s="164">
        <f>'háttér kalkulátor'!E66</f>
        <v>0</v>
      </c>
      <c r="E46" s="254"/>
    </row>
    <row r="47" spans="1:5" ht="30" x14ac:dyDescent="0.25">
      <c r="A47" s="254"/>
      <c r="B47" s="28" t="s">
        <v>61</v>
      </c>
      <c r="C47" s="5" t="s">
        <v>162</v>
      </c>
      <c r="D47" s="163">
        <f>(D13+D14+D15*1.18)*Szocho+(D13)*Szakképzési_hozzájárulás</f>
        <v>0</v>
      </c>
      <c r="E47" s="254"/>
    </row>
    <row r="48" spans="1:5" ht="32.25" x14ac:dyDescent="0.25">
      <c r="A48" s="254"/>
      <c r="B48" s="16" t="s">
        <v>62</v>
      </c>
      <c r="C48" s="12" t="s">
        <v>282</v>
      </c>
      <c r="D48" s="163">
        <f>'háttér kalkulátor'!J14+'háttér kalkulátor'!J16+'Egyéni vállalkozó'!D20</f>
        <v>0</v>
      </c>
      <c r="E48" s="254"/>
    </row>
    <row r="49" spans="1:10" x14ac:dyDescent="0.25">
      <c r="A49" s="254"/>
      <c r="B49" s="55" t="s">
        <v>63</v>
      </c>
      <c r="C49" s="56" t="s">
        <v>293</v>
      </c>
      <c r="D49" s="166">
        <f>D47-D48</f>
        <v>0</v>
      </c>
      <c r="E49" s="254"/>
    </row>
    <row r="50" spans="1:10" ht="17.25" x14ac:dyDescent="0.25">
      <c r="A50" s="254"/>
      <c r="B50" s="16" t="s">
        <v>64</v>
      </c>
      <c r="C50" s="9" t="s">
        <v>284</v>
      </c>
      <c r="D50" s="165">
        <f>MAX(0,D10-D12)</f>
        <v>0</v>
      </c>
      <c r="E50" s="254"/>
    </row>
    <row r="51" spans="1:10" ht="30" x14ac:dyDescent="0.25">
      <c r="A51" s="254"/>
      <c r="B51" s="16" t="s">
        <v>65</v>
      </c>
      <c r="C51" s="9" t="s">
        <v>161</v>
      </c>
      <c r="D51" s="210">
        <f>IF(D10&lt;=Főlap!E21/12*8000000,D10*0.8,"nem választható")</f>
        <v>0</v>
      </c>
      <c r="E51" s="254"/>
    </row>
    <row r="52" spans="1:10" ht="17.25" x14ac:dyDescent="0.25">
      <c r="A52" s="254"/>
      <c r="B52" s="44" t="s">
        <v>66</v>
      </c>
      <c r="C52" s="11" t="s">
        <v>294</v>
      </c>
      <c r="D52" s="164">
        <f>MIN(D50:D51)*D23</f>
        <v>0</v>
      </c>
      <c r="E52" s="254"/>
    </row>
    <row r="53" spans="1:10" x14ac:dyDescent="0.25">
      <c r="A53" s="254"/>
      <c r="B53" s="16" t="s">
        <v>67</v>
      </c>
      <c r="C53" s="43" t="s">
        <v>163</v>
      </c>
      <c r="D53" s="167">
        <f>D10+D11</f>
        <v>0</v>
      </c>
      <c r="E53" s="254"/>
    </row>
    <row r="54" spans="1:10" x14ac:dyDescent="0.25">
      <c r="A54" s="254"/>
      <c r="B54" s="16" t="s">
        <v>68</v>
      </c>
      <c r="C54" s="43" t="s">
        <v>295</v>
      </c>
      <c r="D54" s="167">
        <f>SUM(D12:D18)+D49+D46+D52</f>
        <v>0</v>
      </c>
      <c r="E54" s="263"/>
    </row>
    <row r="55" spans="1:10" x14ac:dyDescent="0.25">
      <c r="A55" s="254"/>
      <c r="B55" s="16" t="s">
        <v>69</v>
      </c>
      <c r="C55" s="43" t="s">
        <v>296</v>
      </c>
      <c r="D55" s="161">
        <f>D53-D54</f>
        <v>0</v>
      </c>
      <c r="E55" s="254"/>
    </row>
    <row r="56" spans="1:10" ht="17.25" x14ac:dyDescent="0.25">
      <c r="A56" s="254"/>
      <c r="B56" s="16" t="s">
        <v>70</v>
      </c>
      <c r="C56" s="43" t="s">
        <v>297</v>
      </c>
      <c r="D56" s="165">
        <f>MAX(D55,0)</f>
        <v>0</v>
      </c>
      <c r="E56" s="254"/>
    </row>
    <row r="57" spans="1:10" ht="17.25" x14ac:dyDescent="0.25">
      <c r="A57" s="254"/>
      <c r="B57" s="44" t="s">
        <v>71</v>
      </c>
      <c r="C57" s="1" t="s">
        <v>379</v>
      </c>
      <c r="D57" s="168">
        <f>MAX(D56*Szja_vállalkozói,0)</f>
        <v>0</v>
      </c>
      <c r="E57" s="254"/>
    </row>
    <row r="58" spans="1:10" ht="21.75" customHeight="1" x14ac:dyDescent="0.25">
      <c r="A58" s="254"/>
      <c r="B58" s="426" t="s">
        <v>158</v>
      </c>
      <c r="C58" s="416"/>
      <c r="D58" s="427"/>
      <c r="E58" s="254"/>
    </row>
    <row r="59" spans="1:10" ht="17.25" x14ac:dyDescent="0.25">
      <c r="A59" s="254"/>
      <c r="B59" s="28" t="s">
        <v>72</v>
      </c>
      <c r="C59" s="1" t="s">
        <v>326</v>
      </c>
      <c r="D59" s="18">
        <f>MAX(D55-D57,0)</f>
        <v>0</v>
      </c>
      <c r="E59" s="263"/>
    </row>
    <row r="60" spans="1:10" ht="17.25" x14ac:dyDescent="0.25">
      <c r="A60" s="254"/>
      <c r="B60" s="29" t="s">
        <v>73</v>
      </c>
      <c r="C60" s="31" t="s">
        <v>380</v>
      </c>
      <c r="D60" s="168">
        <f>D59*Szja</f>
        <v>0</v>
      </c>
      <c r="E60" s="254"/>
    </row>
    <row r="61" spans="1:10" ht="33" thickBot="1" x14ac:dyDescent="0.3">
      <c r="A61" s="254"/>
      <c r="B61" s="32" t="s">
        <v>74</v>
      </c>
      <c r="C61" s="58" t="s">
        <v>298</v>
      </c>
      <c r="D61" s="168">
        <f>MAX(0,MIN(D59,24*Minimálbér-D16))*Szocho</f>
        <v>0</v>
      </c>
      <c r="E61" s="254"/>
    </row>
    <row r="62" spans="1:10" ht="24" collapsed="1" thickBot="1" x14ac:dyDescent="0.3">
      <c r="A62" s="254"/>
      <c r="B62" s="219" t="s">
        <v>378</v>
      </c>
      <c r="C62" s="218"/>
      <c r="D62" s="211">
        <f>IF(OR(AND(D64&gt;15000000,D21&lt;=0.8),AND(D64&gt;100000000,D21&gt;0.8)),"Nem jogosult átalányadózás választására",D67+D74+D77+D80)</f>
        <v>0</v>
      </c>
      <c r="E62" s="254"/>
    </row>
    <row r="63" spans="1:10" ht="21.75" customHeight="1" x14ac:dyDescent="0.25">
      <c r="A63" s="254"/>
      <c r="B63" s="415" t="s">
        <v>166</v>
      </c>
      <c r="C63" s="416"/>
      <c r="D63" s="417"/>
      <c r="E63" s="254"/>
      <c r="F63" s="337"/>
      <c r="G63" s="337"/>
      <c r="H63" s="337"/>
      <c r="I63" s="337"/>
      <c r="J63" s="337"/>
    </row>
    <row r="64" spans="1:10" x14ac:dyDescent="0.25">
      <c r="A64" s="254"/>
      <c r="B64" s="16" t="s">
        <v>75</v>
      </c>
      <c r="C64" s="8" t="s">
        <v>299</v>
      </c>
      <c r="D64" s="161">
        <f>D10+D11</f>
        <v>0</v>
      </c>
      <c r="E64" s="254"/>
    </row>
    <row r="65" spans="1:10" x14ac:dyDescent="0.25">
      <c r="A65" s="254"/>
      <c r="B65" s="16" t="s">
        <v>76</v>
      </c>
      <c r="C65" s="8" t="s">
        <v>300</v>
      </c>
      <c r="D65" s="34">
        <f>IF(Főlap!E26="Igen",D22,D21)</f>
        <v>0.4</v>
      </c>
      <c r="E65" s="254"/>
      <c r="F65" s="337"/>
      <c r="G65" s="337"/>
      <c r="H65" s="337"/>
      <c r="I65" s="337"/>
      <c r="J65" s="337"/>
    </row>
    <row r="66" spans="1:10" x14ac:dyDescent="0.25">
      <c r="A66" s="254"/>
      <c r="B66" s="16" t="s">
        <v>77</v>
      </c>
      <c r="C66" s="9" t="s">
        <v>164</v>
      </c>
      <c r="D66" s="169">
        <f>D64*(1-D65)</f>
        <v>0</v>
      </c>
      <c r="E66" s="254"/>
      <c r="F66" s="338"/>
      <c r="G66" s="337"/>
      <c r="H66" s="339"/>
      <c r="I66" s="337"/>
      <c r="J66" s="337"/>
    </row>
    <row r="67" spans="1:10" ht="17.25" collapsed="1" x14ac:dyDescent="0.25">
      <c r="A67" s="254"/>
      <c r="B67" s="174" t="s">
        <v>78</v>
      </c>
      <c r="C67" s="31" t="s">
        <v>327</v>
      </c>
      <c r="D67" s="168">
        <f>D68+D69+D70+D71+D72</f>
        <v>0</v>
      </c>
      <c r="E67" s="254"/>
    </row>
    <row r="68" spans="1:10" s="343" customFormat="1" x14ac:dyDescent="0.25">
      <c r="A68" s="254"/>
      <c r="B68" s="16" t="s">
        <v>79</v>
      </c>
      <c r="C68" s="9" t="s">
        <v>145</v>
      </c>
      <c r="D68" s="170">
        <f>'háttér kalkulátor'!E114</f>
        <v>0</v>
      </c>
      <c r="E68" s="340"/>
      <c r="F68" s="341"/>
      <c r="G68" s="341"/>
      <c r="H68" s="342"/>
      <c r="I68" s="341"/>
      <c r="J68" s="341"/>
    </row>
    <row r="69" spans="1:10" x14ac:dyDescent="0.25">
      <c r="A69" s="254"/>
      <c r="B69" s="28" t="s">
        <v>80</v>
      </c>
      <c r="C69" s="3" t="s">
        <v>119</v>
      </c>
      <c r="D69" s="170">
        <f>'háttér kalkulátor'!E120</f>
        <v>0</v>
      </c>
      <c r="E69" s="254"/>
      <c r="F69" s="337"/>
      <c r="G69" s="337"/>
      <c r="H69" s="344"/>
      <c r="I69" s="337"/>
      <c r="J69" s="344"/>
    </row>
    <row r="70" spans="1:10" x14ac:dyDescent="0.25">
      <c r="A70" s="254"/>
      <c r="B70" s="28" t="s">
        <v>81</v>
      </c>
      <c r="C70" s="3" t="s">
        <v>165</v>
      </c>
      <c r="D70" s="170">
        <f>'háttér kalkulátor'!E121+'háttér kalkulátor'!E122</f>
        <v>0</v>
      </c>
      <c r="E70" s="254"/>
      <c r="F70" s="337"/>
      <c r="G70" s="337"/>
      <c r="H70" s="344"/>
      <c r="I70" s="337"/>
      <c r="J70" s="337"/>
    </row>
    <row r="71" spans="1:10" x14ac:dyDescent="0.25">
      <c r="A71" s="254"/>
      <c r="B71" s="28" t="s">
        <v>82</v>
      </c>
      <c r="C71" s="3" t="s">
        <v>120</v>
      </c>
      <c r="D71" s="170">
        <f>'háttér kalkulátor'!E109</f>
        <v>0</v>
      </c>
      <c r="E71" s="254"/>
      <c r="F71" s="337"/>
      <c r="G71" s="337"/>
      <c r="H71" s="337"/>
      <c r="I71" s="337"/>
      <c r="J71" s="337"/>
    </row>
    <row r="72" spans="1:10" x14ac:dyDescent="0.25">
      <c r="A72" s="254"/>
      <c r="B72" s="28" t="s">
        <v>83</v>
      </c>
      <c r="C72" s="3" t="s">
        <v>109</v>
      </c>
      <c r="D72" s="170">
        <f>'háttér kalkulátor'!E110</f>
        <v>0</v>
      </c>
      <c r="E72" s="254"/>
      <c r="F72" s="337"/>
      <c r="G72" s="337"/>
      <c r="H72" s="337"/>
      <c r="I72" s="337"/>
      <c r="J72" s="337"/>
    </row>
    <row r="73" spans="1:10" ht="21.75" customHeight="1" x14ac:dyDescent="0.25">
      <c r="A73" s="254"/>
      <c r="B73" s="415" t="s">
        <v>146</v>
      </c>
      <c r="C73" s="416"/>
      <c r="D73" s="417"/>
      <c r="E73" s="254"/>
      <c r="F73" s="337"/>
      <c r="G73" s="337"/>
      <c r="H73" s="337"/>
      <c r="I73" s="337"/>
      <c r="J73" s="337"/>
    </row>
    <row r="74" spans="1:10" ht="33" customHeight="1" x14ac:dyDescent="0.25">
      <c r="A74" s="254"/>
      <c r="B74" s="29" t="s">
        <v>84</v>
      </c>
      <c r="C74" s="57" t="s">
        <v>328</v>
      </c>
      <c r="D74" s="207">
        <f>'háttér kalkulátor'!E105</f>
        <v>0</v>
      </c>
      <c r="E74" s="254"/>
      <c r="F74" s="337"/>
      <c r="G74" s="337"/>
      <c r="H74" s="337"/>
      <c r="I74" s="337"/>
      <c r="J74" s="337"/>
    </row>
    <row r="75" spans="1:10" ht="17.25" x14ac:dyDescent="0.25">
      <c r="A75" s="254"/>
      <c r="B75" s="16" t="s">
        <v>85</v>
      </c>
      <c r="C75" s="9" t="s">
        <v>284</v>
      </c>
      <c r="D75" s="165">
        <f>MAX(0,D10-D12)</f>
        <v>0</v>
      </c>
      <c r="E75" s="254"/>
      <c r="F75" s="337"/>
      <c r="G75" s="337"/>
      <c r="H75" s="337"/>
      <c r="I75" s="337"/>
      <c r="J75" s="337"/>
    </row>
    <row r="76" spans="1:10" x14ac:dyDescent="0.25">
      <c r="A76" s="254"/>
      <c r="B76" s="28" t="s">
        <v>86</v>
      </c>
      <c r="C76" s="9" t="s">
        <v>346</v>
      </c>
      <c r="D76" s="240">
        <f>MIN(D64*0.8,D66*1.2)</f>
        <v>0</v>
      </c>
      <c r="E76" s="254"/>
      <c r="F76" s="337"/>
      <c r="G76" s="337"/>
      <c r="H76" s="337"/>
      <c r="I76" s="337"/>
      <c r="J76" s="337"/>
    </row>
    <row r="77" spans="1:10" x14ac:dyDescent="0.25">
      <c r="A77" s="254"/>
      <c r="B77" s="29" t="s">
        <v>87</v>
      </c>
      <c r="C77" s="57" t="s">
        <v>347</v>
      </c>
      <c r="D77" s="241">
        <f>MIN(D75:D76)*D23</f>
        <v>0</v>
      </c>
      <c r="E77" s="254"/>
      <c r="F77" s="337"/>
      <c r="G77" s="337"/>
      <c r="H77" s="337"/>
      <c r="I77" s="337"/>
      <c r="J77" s="337"/>
    </row>
    <row r="78" spans="1:10" x14ac:dyDescent="0.25">
      <c r="A78" s="254"/>
      <c r="B78" s="16" t="s">
        <v>147</v>
      </c>
      <c r="C78" s="12" t="s">
        <v>359</v>
      </c>
      <c r="D78" s="172">
        <f>(D13+D14+D15*1.18)*Szocho</f>
        <v>0</v>
      </c>
      <c r="E78" s="254"/>
      <c r="F78" s="337"/>
      <c r="G78" s="337"/>
      <c r="H78" s="337"/>
      <c r="I78" s="337"/>
      <c r="J78" s="337"/>
    </row>
    <row r="79" spans="1:10" ht="17.25" x14ac:dyDescent="0.25">
      <c r="A79" s="254"/>
      <c r="B79" s="61" t="s">
        <v>148</v>
      </c>
      <c r="C79" s="12" t="s">
        <v>360</v>
      </c>
      <c r="D79" s="243">
        <f>'háttér kalkulátor'!J14</f>
        <v>0</v>
      </c>
      <c r="E79" s="254"/>
      <c r="F79" s="337"/>
      <c r="G79" s="337"/>
      <c r="H79" s="337"/>
      <c r="I79" s="337"/>
      <c r="J79" s="337"/>
    </row>
    <row r="80" spans="1:10" x14ac:dyDescent="0.25">
      <c r="A80" s="254"/>
      <c r="B80" s="29" t="s">
        <v>149</v>
      </c>
      <c r="C80" s="67" t="s">
        <v>361</v>
      </c>
      <c r="D80" s="173">
        <f>D78-D79</f>
        <v>0</v>
      </c>
      <c r="E80" s="254"/>
      <c r="F80" s="337"/>
      <c r="G80" s="337"/>
      <c r="H80" s="337"/>
      <c r="I80" s="337"/>
      <c r="J80" s="337"/>
    </row>
    <row r="81" spans="1:11" ht="5.25" customHeight="1" x14ac:dyDescent="0.25">
      <c r="A81" s="254"/>
      <c r="B81" s="428"/>
      <c r="C81" s="428"/>
      <c r="D81" s="428"/>
      <c r="E81" s="254"/>
      <c r="F81" s="337"/>
      <c r="G81" s="337"/>
      <c r="H81" s="337"/>
      <c r="I81" s="337"/>
      <c r="J81" s="337"/>
    </row>
    <row r="82" spans="1:11" x14ac:dyDescent="0.25">
      <c r="A82" s="254"/>
      <c r="B82" s="412" t="s">
        <v>224</v>
      </c>
      <c r="C82" s="412"/>
      <c r="D82" s="412"/>
      <c r="E82" s="254"/>
      <c r="F82" s="337"/>
      <c r="G82" s="337"/>
      <c r="H82" s="337"/>
      <c r="I82" s="337"/>
      <c r="J82" s="337"/>
    </row>
    <row r="83" spans="1:11" x14ac:dyDescent="0.25">
      <c r="A83" s="254"/>
      <c r="B83" s="412" t="s">
        <v>225</v>
      </c>
      <c r="C83" s="412"/>
      <c r="D83" s="412"/>
      <c r="E83" s="254"/>
      <c r="F83" s="337"/>
      <c r="G83" s="337"/>
      <c r="H83" s="337"/>
      <c r="I83" s="337"/>
      <c r="J83" s="337"/>
    </row>
    <row r="84" spans="1:11" collapsed="1" x14ac:dyDescent="0.25">
      <c r="A84" s="254"/>
      <c r="B84" s="412" t="s">
        <v>226</v>
      </c>
      <c r="C84" s="412"/>
      <c r="D84" s="412"/>
      <c r="E84" s="254"/>
    </row>
    <row r="85" spans="1:11" ht="15" customHeight="1" x14ac:dyDescent="0.25">
      <c r="A85" s="254"/>
      <c r="B85" s="412" t="s">
        <v>227</v>
      </c>
      <c r="C85" s="412"/>
      <c r="D85" s="412"/>
      <c r="E85" s="254"/>
    </row>
    <row r="86" spans="1:11" ht="15" customHeight="1" x14ac:dyDescent="0.25">
      <c r="A86" s="254"/>
      <c r="B86" s="412" t="s">
        <v>228</v>
      </c>
      <c r="C86" s="412"/>
      <c r="D86" s="412"/>
      <c r="E86" s="254"/>
    </row>
    <row r="87" spans="1:11" ht="32.25" customHeight="1" x14ac:dyDescent="0.25">
      <c r="A87" s="254"/>
      <c r="B87" s="413" t="s">
        <v>329</v>
      </c>
      <c r="C87" s="414"/>
      <c r="D87" s="414"/>
      <c r="E87" s="254"/>
    </row>
    <row r="88" spans="1:11" ht="28.5" customHeight="1" x14ac:dyDescent="0.25">
      <c r="A88" s="254"/>
      <c r="B88" s="434" t="s">
        <v>330</v>
      </c>
      <c r="C88" s="434"/>
      <c r="D88" s="434"/>
      <c r="E88" s="254"/>
    </row>
    <row r="89" spans="1:11" ht="19.5" customHeight="1" x14ac:dyDescent="0.25">
      <c r="A89" s="254"/>
      <c r="B89" s="438" t="s">
        <v>264</v>
      </c>
      <c r="C89" s="438"/>
      <c r="D89" s="438"/>
      <c r="E89" s="254"/>
    </row>
    <row r="90" spans="1:11" ht="48" customHeight="1" x14ac:dyDescent="0.25">
      <c r="A90" s="254"/>
      <c r="B90" s="434" t="s">
        <v>382</v>
      </c>
      <c r="C90" s="434"/>
      <c r="D90" s="434"/>
      <c r="E90" s="254"/>
    </row>
    <row r="91" spans="1:11" ht="44.25" customHeight="1" x14ac:dyDescent="0.25">
      <c r="A91" s="254"/>
      <c r="B91" s="437" t="s">
        <v>331</v>
      </c>
      <c r="C91" s="437"/>
      <c r="D91" s="437"/>
      <c r="E91" s="437"/>
      <c r="F91" s="437"/>
      <c r="G91" s="437"/>
      <c r="H91" s="437"/>
      <c r="I91" s="437"/>
      <c r="J91" s="437"/>
      <c r="K91" s="437"/>
    </row>
    <row r="92" spans="1:11" ht="14.25" customHeight="1" x14ac:dyDescent="0.25">
      <c r="A92" s="254"/>
      <c r="B92" s="434" t="s">
        <v>229</v>
      </c>
      <c r="C92" s="434"/>
      <c r="D92" s="434"/>
      <c r="E92" s="254"/>
    </row>
    <row r="93" spans="1:11" x14ac:dyDescent="0.25">
      <c r="A93" s="254"/>
      <c r="B93" s="254"/>
      <c r="C93" s="254"/>
      <c r="D93" s="254"/>
      <c r="E93" s="254"/>
    </row>
    <row r="94" spans="1:11" ht="18.75" hidden="1" customHeight="1" x14ac:dyDescent="0.25">
      <c r="A94" s="254"/>
      <c r="B94" s="254"/>
      <c r="C94" s="254"/>
      <c r="D94" s="254"/>
      <c r="E94" s="254"/>
    </row>
    <row r="95" spans="1:11" hidden="1" x14ac:dyDescent="0.25">
      <c r="A95" s="254"/>
      <c r="B95" s="436"/>
      <c r="C95" s="436"/>
      <c r="D95" s="436"/>
      <c r="E95" s="254"/>
    </row>
    <row r="96" spans="1:11" hidden="1" x14ac:dyDescent="0.25">
      <c r="B96" s="254"/>
      <c r="C96" s="254"/>
      <c r="D96" s="254"/>
      <c r="E96" s="254"/>
    </row>
    <row r="97" spans="3:6" hidden="1" x14ac:dyDescent="0.25">
      <c r="C97" s="435"/>
      <c r="D97" s="435"/>
      <c r="E97" s="435"/>
      <c r="F97" s="435"/>
    </row>
    <row r="98" spans="3:6" hidden="1" x14ac:dyDescent="0.25"/>
    <row r="99" spans="3:6" hidden="1" x14ac:dyDescent="0.25"/>
    <row r="100" spans="3:6" hidden="1" x14ac:dyDescent="0.25"/>
    <row r="101" spans="3:6" hidden="1" x14ac:dyDescent="0.25"/>
    <row r="102" spans="3:6" hidden="1" x14ac:dyDescent="0.25"/>
    <row r="103" spans="3:6" hidden="1" x14ac:dyDescent="0.25"/>
    <row r="104" spans="3:6" hidden="1" x14ac:dyDescent="0.25"/>
    <row r="105" spans="3:6" hidden="1" x14ac:dyDescent="0.25"/>
    <row r="106" spans="3:6" hidden="1" x14ac:dyDescent="0.25"/>
    <row r="107" spans="3:6" hidden="1" x14ac:dyDescent="0.25"/>
    <row r="108" spans="3:6" hidden="1" x14ac:dyDescent="0.25"/>
    <row r="109" spans="3:6" hidden="1" x14ac:dyDescent="0.25"/>
    <row r="110" spans="3:6" hidden="1" x14ac:dyDescent="0.25"/>
    <row r="111" spans="3:6" hidden="1" x14ac:dyDescent="0.25"/>
    <row r="112" spans="3:6"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sheetData>
  <sheetProtection password="9242" sheet="1" objects="1" scenarios="1"/>
  <protectedRanges>
    <protectedRange sqref="D11 D14 D15 D20 D21" name="Range1"/>
  </protectedRanges>
  <mergeCells count="30">
    <mergeCell ref="C97:F97"/>
    <mergeCell ref="B95:D95"/>
    <mergeCell ref="B84:D84"/>
    <mergeCell ref="B90:D90"/>
    <mergeCell ref="B88:D88"/>
    <mergeCell ref="B86:D86"/>
    <mergeCell ref="B85:D85"/>
    <mergeCell ref="B92:D92"/>
    <mergeCell ref="B91:K91"/>
    <mergeCell ref="B89:D89"/>
    <mergeCell ref="B1:D1"/>
    <mergeCell ref="B2:D2"/>
    <mergeCell ref="B3:D3"/>
    <mergeCell ref="B4:D4"/>
    <mergeCell ref="B5:D5"/>
    <mergeCell ref="B83:D83"/>
    <mergeCell ref="B87:D87"/>
    <mergeCell ref="B63:D63"/>
    <mergeCell ref="B7:C7"/>
    <mergeCell ref="B8:D8"/>
    <mergeCell ref="B19:D19"/>
    <mergeCell ref="B35:C35"/>
    <mergeCell ref="B24:C24"/>
    <mergeCell ref="B36:D36"/>
    <mergeCell ref="B44:D44"/>
    <mergeCell ref="B58:D58"/>
    <mergeCell ref="B25:D25"/>
    <mergeCell ref="B73:D73"/>
    <mergeCell ref="B81:D81"/>
    <mergeCell ref="B82:D82"/>
  </mergeCells>
  <conditionalFormatting sqref="B63:D75 D76">
    <cfRule type="expression" dxfId="9" priority="4">
      <formula>OR(AND($D$10+$D$11&gt;15000000,D20&lt;=0.8),AND($D$10+$D$11&gt;100000000,D20&gt;0.8))</formula>
    </cfRule>
  </conditionalFormatting>
  <conditionalFormatting sqref="D77:D80">
    <cfRule type="expression" dxfId="8" priority="15">
      <formula>OR(AND($D$10+$D$11&gt;15000000,F34&lt;=0.8),AND($D$10+$D$11&gt;100000000,F34&gt;0.8))</formula>
    </cfRule>
  </conditionalFormatting>
  <conditionalFormatting sqref="B76:C76">
    <cfRule type="expression" dxfId="7" priority="2">
      <formula>OR(AND($D$10+$D$11&gt;15000000,D33&lt;=0.8),AND($D$10+$D$11&gt;100000000,D33&gt;0.8))</formula>
    </cfRule>
  </conditionalFormatting>
  <conditionalFormatting sqref="B77:C80">
    <cfRule type="expression" dxfId="6" priority="3">
      <formula>OR(AND($D$10+$D$11&gt;15000000,D34&lt;=0.8),AND($D$10+$D$11&gt;100000000,D34&gt;0.8))</formula>
    </cfRule>
  </conditionalFormatting>
  <dataValidations count="1">
    <dataValidation type="list" allowBlank="1" showInputMessage="1" showErrorMessage="1" sqref="D21">
      <formula1>INDIRECT("Átalányadókulcsok[Mérték (általános)]")</formula1>
    </dataValidation>
  </dataValidations>
  <hyperlinks>
    <hyperlink ref="B89" r:id="rId1" display="https://nav.gov.hu//data/cms488873/03_Az_egyeni_vallalkozok_jovedelmenek_meghatarozasara_es_jarulekfizetesere_vonatkozo_alapvet__szabalyok_20190725.pdf"/>
    <hyperlink ref="B89:D89" r:id="rId2" display="NAV információs füzet az egyéni vállalkozók járuékfizetési szabályairól"/>
  </hyperlinks>
  <pageMargins left="0.7" right="0.7" top="0.75" bottom="0.75" header="0.3" footer="0.3"/>
  <pageSetup paperSize="9" orientation="portrait" r:id="rId3"/>
  <extLst>
    <ext xmlns:x14="http://schemas.microsoft.com/office/spreadsheetml/2009/9/main" uri="{78C0D931-6437-407d-A8EE-F0AAD7539E65}">
      <x14:conditionalFormattings>
        <x14:conditionalFormatting xmlns:xm="http://schemas.microsoft.com/office/excel/2006/main">
          <x14:cfRule type="expression" priority="1" id="{B296EE16-8129-447C-9BEA-40EA587DA4F2}">
            <xm:f>Főlap!$E$8&lt;&gt;'listák, paraméterek'!$A$2</xm:f>
            <x14:dxf>
              <font>
                <color theme="0" tint="-0.24994659260841701"/>
              </font>
              <fill>
                <patternFill patternType="lightDown">
                  <fgColor indexed="64"/>
                  <bgColor auto="1"/>
                </patternFill>
              </fill>
              <border>
                <left/>
                <right/>
                <top/>
                <bottom/>
              </border>
            </x14:dxf>
          </x14:cfRule>
          <xm:sqref>A1:K231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60"/>
  <sheetViews>
    <sheetView zoomScale="85" zoomScaleNormal="85" workbookViewId="0"/>
  </sheetViews>
  <sheetFormatPr defaultColWidth="0" defaultRowHeight="15" zeroHeight="1" x14ac:dyDescent="0.25"/>
  <cols>
    <col min="1" max="1" width="5.7109375" style="255" customWidth="1"/>
    <col min="2" max="2" width="3.42578125" style="255" customWidth="1"/>
    <col min="3" max="3" width="131.42578125" style="255" customWidth="1"/>
    <col min="4" max="4" width="21.140625" style="255" customWidth="1"/>
    <col min="5" max="5" width="6.140625" style="255" customWidth="1"/>
    <col min="6" max="9" width="9.140625" style="255" hidden="1" customWidth="1"/>
    <col min="10" max="16384" width="9.140625" style="255" hidden="1"/>
  </cols>
  <sheetData>
    <row r="1" spans="1:5" ht="27" customHeight="1" x14ac:dyDescent="0.25">
      <c r="A1" s="254"/>
      <c r="B1" s="429" t="s">
        <v>383</v>
      </c>
      <c r="C1" s="429"/>
      <c r="D1" s="429"/>
      <c r="E1" s="254"/>
    </row>
    <row r="2" spans="1:5" ht="37.5" customHeight="1" x14ac:dyDescent="0.3">
      <c r="A2" s="254"/>
      <c r="B2" s="430" t="s">
        <v>90</v>
      </c>
      <c r="C2" s="431"/>
      <c r="D2" s="431"/>
      <c r="E2" s="254"/>
    </row>
    <row r="3" spans="1:5" ht="12" customHeight="1" x14ac:dyDescent="0.25">
      <c r="A3" s="254"/>
      <c r="B3" s="432"/>
      <c r="C3" s="432"/>
      <c r="D3" s="432"/>
      <c r="E3" s="254"/>
    </row>
    <row r="4" spans="1:5" ht="169.5" customHeight="1" x14ac:dyDescent="0.25">
      <c r="A4" s="254"/>
      <c r="B4" s="433" t="s">
        <v>178</v>
      </c>
      <c r="C4" s="433"/>
      <c r="D4" s="433"/>
      <c r="E4" s="254"/>
    </row>
    <row r="5" spans="1:5" ht="36.75" customHeight="1" x14ac:dyDescent="0.25">
      <c r="A5" s="254"/>
      <c r="B5" s="433" t="s">
        <v>181</v>
      </c>
      <c r="C5" s="433"/>
      <c r="D5" s="433"/>
      <c r="E5" s="254"/>
    </row>
    <row r="6" spans="1:5" ht="45" customHeight="1" x14ac:dyDescent="0.25">
      <c r="A6" s="254"/>
      <c r="B6" s="440" t="s">
        <v>22</v>
      </c>
      <c r="C6" s="440"/>
      <c r="D6" s="440"/>
      <c r="E6" s="254"/>
    </row>
    <row r="7" spans="1:5" ht="6.75" customHeight="1" x14ac:dyDescent="0.25">
      <c r="A7" s="254"/>
      <c r="B7" s="251"/>
      <c r="C7" s="252"/>
      <c r="D7" s="252"/>
      <c r="E7" s="254"/>
    </row>
    <row r="8" spans="1:5" ht="21" x14ac:dyDescent="0.25">
      <c r="A8" s="254"/>
      <c r="B8" s="418" t="s">
        <v>23</v>
      </c>
      <c r="C8" s="419"/>
      <c r="D8" s="68" t="s">
        <v>24</v>
      </c>
      <c r="E8" s="254"/>
    </row>
    <row r="9" spans="1:5" ht="19.5" customHeight="1" x14ac:dyDescent="0.25">
      <c r="A9" s="254"/>
      <c r="B9" s="415" t="s">
        <v>25</v>
      </c>
      <c r="C9" s="416"/>
      <c r="D9" s="417"/>
      <c r="E9" s="254"/>
    </row>
    <row r="10" spans="1:5" x14ac:dyDescent="0.25">
      <c r="A10" s="254"/>
      <c r="B10" s="14" t="s">
        <v>139</v>
      </c>
      <c r="C10" s="2" t="s">
        <v>0</v>
      </c>
      <c r="D10" s="331">
        <f>Főlap!E9</f>
        <v>0</v>
      </c>
      <c r="E10" s="254"/>
    </row>
    <row r="11" spans="1:5" x14ac:dyDescent="0.25">
      <c r="A11" s="254"/>
      <c r="B11" s="14" t="s">
        <v>141</v>
      </c>
      <c r="C11" s="3" t="s">
        <v>28</v>
      </c>
      <c r="D11" s="332">
        <v>0</v>
      </c>
      <c r="E11" s="254"/>
    </row>
    <row r="12" spans="1:5" x14ac:dyDescent="0.25">
      <c r="A12" s="254"/>
      <c r="B12" s="14" t="s">
        <v>126</v>
      </c>
      <c r="C12" s="2" t="s">
        <v>29</v>
      </c>
      <c r="D12" s="332">
        <v>0</v>
      </c>
      <c r="E12" s="254"/>
    </row>
    <row r="13" spans="1:5" x14ac:dyDescent="0.25">
      <c r="A13" s="254"/>
      <c r="B13" s="14" t="s">
        <v>26</v>
      </c>
      <c r="C13" s="4" t="s">
        <v>263</v>
      </c>
      <c r="D13" s="331">
        <f>Főlap!E10</f>
        <v>0</v>
      </c>
      <c r="E13" s="254"/>
    </row>
    <row r="14" spans="1:5" x14ac:dyDescent="0.25">
      <c r="A14" s="254"/>
      <c r="B14" s="14" t="s">
        <v>27</v>
      </c>
      <c r="C14" s="3" t="s">
        <v>132</v>
      </c>
      <c r="D14" s="331">
        <f>'háttér kalkulátor'!J9</f>
        <v>0</v>
      </c>
      <c r="E14" s="254"/>
    </row>
    <row r="15" spans="1:5" x14ac:dyDescent="0.25">
      <c r="A15" s="254"/>
      <c r="B15" s="14" t="s">
        <v>159</v>
      </c>
      <c r="C15" s="6" t="s">
        <v>142</v>
      </c>
      <c r="D15" s="332">
        <v>0</v>
      </c>
      <c r="E15" s="254"/>
    </row>
    <row r="16" spans="1:5" x14ac:dyDescent="0.25">
      <c r="A16" s="254"/>
      <c r="B16" s="14" t="s">
        <v>160</v>
      </c>
      <c r="C16" s="6" t="s">
        <v>36</v>
      </c>
      <c r="D16" s="332">
        <v>0</v>
      </c>
      <c r="E16" s="254"/>
    </row>
    <row r="17" spans="1:5" x14ac:dyDescent="0.25">
      <c r="A17" s="254"/>
      <c r="B17" s="14" t="s">
        <v>30</v>
      </c>
      <c r="C17" s="6" t="s">
        <v>138</v>
      </c>
      <c r="D17" s="331">
        <f>'háttér kalkulátor'!J32</f>
        <v>0</v>
      </c>
      <c r="E17" s="254"/>
    </row>
    <row r="18" spans="1:5" ht="17.25" x14ac:dyDescent="0.25">
      <c r="A18" s="254"/>
      <c r="B18" s="15" t="s">
        <v>31</v>
      </c>
      <c r="C18" s="6" t="s">
        <v>332</v>
      </c>
      <c r="D18" s="331">
        <f>Főlap!E11</f>
        <v>0</v>
      </c>
      <c r="E18" s="254"/>
    </row>
    <row r="19" spans="1:5" x14ac:dyDescent="0.25">
      <c r="A19" s="254"/>
      <c r="B19" s="14" t="s">
        <v>32</v>
      </c>
      <c r="C19" s="6" t="s">
        <v>42</v>
      </c>
      <c r="D19" s="331" t="str">
        <f>Főlap!E12</f>
        <v>`</v>
      </c>
      <c r="E19" s="254"/>
    </row>
    <row r="20" spans="1:5" x14ac:dyDescent="0.25">
      <c r="A20" s="254"/>
      <c r="B20" s="14" t="s">
        <v>33</v>
      </c>
      <c r="C20" s="3" t="s">
        <v>44</v>
      </c>
      <c r="D20" s="332">
        <v>0</v>
      </c>
      <c r="E20" s="254"/>
    </row>
    <row r="21" spans="1:5" x14ac:dyDescent="0.25">
      <c r="A21" s="254"/>
      <c r="B21" s="14" t="s">
        <v>34</v>
      </c>
      <c r="C21" s="3" t="s">
        <v>46</v>
      </c>
      <c r="D21" s="332">
        <v>0</v>
      </c>
      <c r="E21" s="254"/>
    </row>
    <row r="22" spans="1:5" ht="17.25" x14ac:dyDescent="0.25">
      <c r="A22" s="254"/>
      <c r="B22" s="52" t="s">
        <v>35</v>
      </c>
      <c r="C22" s="212" t="s">
        <v>301</v>
      </c>
      <c r="D22" s="345">
        <f>Főlap!E13</f>
        <v>0</v>
      </c>
      <c r="E22" s="254"/>
    </row>
    <row r="23" spans="1:5" ht="21.75" customHeight="1" x14ac:dyDescent="0.25">
      <c r="A23" s="254"/>
      <c r="B23" s="420" t="s">
        <v>48</v>
      </c>
      <c r="C23" s="420"/>
      <c r="D23" s="420"/>
      <c r="E23" s="254"/>
    </row>
    <row r="24" spans="1:5" x14ac:dyDescent="0.25">
      <c r="A24" s="254"/>
      <c r="B24" s="16" t="s">
        <v>37</v>
      </c>
      <c r="C24" s="13" t="s">
        <v>50</v>
      </c>
      <c r="D24" s="346">
        <f>Főlap!E14</f>
        <v>0.02</v>
      </c>
      <c r="E24" s="254"/>
    </row>
    <row r="25" spans="1:5" ht="17.25" x14ac:dyDescent="0.25">
      <c r="A25" s="254"/>
      <c r="B25" s="14" t="s">
        <v>38</v>
      </c>
      <c r="C25" s="7" t="s">
        <v>182</v>
      </c>
      <c r="D25" s="19">
        <f>COUNTIFS('háttér kalkulátor'!E133:I133,FALSE)</f>
        <v>1</v>
      </c>
      <c r="E25" s="254"/>
    </row>
    <row r="26" spans="1:5" ht="17.25" x14ac:dyDescent="0.25">
      <c r="A26" s="254"/>
      <c r="B26" s="14" t="s">
        <v>39</v>
      </c>
      <c r="C26" s="7" t="s">
        <v>390</v>
      </c>
      <c r="D26" s="19">
        <f>COUNTIFS('háttér kalkulátor'!E134:I134,TRUE)</f>
        <v>0</v>
      </c>
      <c r="E26" s="254"/>
    </row>
    <row r="27" spans="1:5" ht="17.25" x14ac:dyDescent="0.25">
      <c r="A27" s="254"/>
      <c r="B27" s="14" t="s">
        <v>40</v>
      </c>
      <c r="C27" s="7" t="s">
        <v>183</v>
      </c>
      <c r="D27" s="19">
        <f>COUNTIFS('háttér kalkulátor'!E133:I133,TRUE)</f>
        <v>0</v>
      </c>
      <c r="E27" s="254"/>
    </row>
    <row r="28" spans="1:5" ht="17.25" x14ac:dyDescent="0.25">
      <c r="A28" s="254"/>
      <c r="B28" s="15" t="s">
        <v>41</v>
      </c>
      <c r="C28" s="3" t="s">
        <v>184</v>
      </c>
      <c r="D28" s="331">
        <f>SUMIF('háttér kalkulátor'!E11:I11,1,'háttér kalkulátor'!E13:I13)</f>
        <v>0</v>
      </c>
      <c r="E28" s="254"/>
    </row>
    <row r="29" spans="1:5" ht="17.25" x14ac:dyDescent="0.25">
      <c r="A29" s="254"/>
      <c r="B29" s="15" t="s">
        <v>43</v>
      </c>
      <c r="C29" s="3" t="s">
        <v>185</v>
      </c>
      <c r="D29" s="331">
        <f>SUMIF('háttér kalkulátor'!E11:I11,0.5,'háttér kalkulátor'!E13:I13)</f>
        <v>0</v>
      </c>
      <c r="E29" s="254"/>
    </row>
    <row r="30" spans="1:5" ht="17.25" x14ac:dyDescent="0.25">
      <c r="A30" s="254"/>
      <c r="B30" s="14" t="s">
        <v>45</v>
      </c>
      <c r="C30" s="3" t="s">
        <v>186</v>
      </c>
      <c r="D30" s="331">
        <f>+'háttér kalkulátor'!J62</f>
        <v>0</v>
      </c>
      <c r="E30" s="254"/>
    </row>
    <row r="31" spans="1:5" ht="15.75" thickBot="1" x14ac:dyDescent="0.3">
      <c r="A31" s="254"/>
      <c r="B31" s="14" t="s">
        <v>47</v>
      </c>
      <c r="C31" s="3" t="s">
        <v>333</v>
      </c>
      <c r="D31" s="332">
        <v>0</v>
      </c>
      <c r="E31" s="254"/>
    </row>
    <row r="32" spans="1:5" ht="21.75" thickBot="1" x14ac:dyDescent="0.3">
      <c r="A32" s="254"/>
      <c r="B32" s="421" t="s">
        <v>302</v>
      </c>
      <c r="C32" s="422"/>
      <c r="D32" s="17">
        <f>D38+D42+D44+D51+D52</f>
        <v>0</v>
      </c>
      <c r="E32" s="254"/>
    </row>
    <row r="33" spans="1:5" ht="21.75" customHeight="1" x14ac:dyDescent="0.25">
      <c r="A33" s="254"/>
      <c r="B33" s="420" t="s">
        <v>154</v>
      </c>
      <c r="C33" s="420"/>
      <c r="D33" s="420"/>
      <c r="E33" s="254"/>
    </row>
    <row r="34" spans="1:5" ht="17.25" x14ac:dyDescent="0.25">
      <c r="A34" s="254"/>
      <c r="B34" s="15" t="s">
        <v>49</v>
      </c>
      <c r="C34" s="7" t="s">
        <v>335</v>
      </c>
      <c r="D34" s="331">
        <f>'háttér kalkulátor'!J55</f>
        <v>0</v>
      </c>
      <c r="E34" s="254"/>
    </row>
    <row r="35" spans="1:5" ht="32.25" x14ac:dyDescent="0.25">
      <c r="A35" s="254"/>
      <c r="B35" s="16" t="s">
        <v>51</v>
      </c>
      <c r="C35" s="49" t="s">
        <v>187</v>
      </c>
      <c r="D35" s="161">
        <f>D14+D15+D16+D34-D28-D29*0.5-D30</f>
        <v>0</v>
      </c>
      <c r="E35" s="254"/>
    </row>
    <row r="36" spans="1:5" ht="17.25" x14ac:dyDescent="0.25">
      <c r="A36" s="254"/>
      <c r="B36" s="61" t="s">
        <v>52</v>
      </c>
      <c r="C36" s="9" t="s">
        <v>304</v>
      </c>
      <c r="D36" s="169">
        <f>D21-D20+D22-D11</f>
        <v>0</v>
      </c>
      <c r="E36" s="254"/>
    </row>
    <row r="37" spans="1:5" ht="17.25" x14ac:dyDescent="0.25">
      <c r="A37" s="254"/>
      <c r="B37" s="16" t="s">
        <v>53</v>
      </c>
      <c r="C37" s="9" t="s">
        <v>305</v>
      </c>
      <c r="D37" s="169">
        <f>MAX(D35+D36,D35, 0)</f>
        <v>0</v>
      </c>
      <c r="E37" s="254"/>
    </row>
    <row r="38" spans="1:5" x14ac:dyDescent="0.25">
      <c r="A38" s="254"/>
      <c r="B38" s="53" t="s">
        <v>54</v>
      </c>
      <c r="C38" s="10" t="s">
        <v>167</v>
      </c>
      <c r="D38" s="175">
        <f>D37*KIVA</f>
        <v>0</v>
      </c>
      <c r="E38" s="254"/>
    </row>
    <row r="39" spans="1:5" ht="17.25" x14ac:dyDescent="0.25">
      <c r="A39" s="254"/>
      <c r="B39" s="16" t="s">
        <v>55</v>
      </c>
      <c r="C39" s="9" t="s">
        <v>306</v>
      </c>
      <c r="D39" s="169">
        <f>D10-D13</f>
        <v>0</v>
      </c>
      <c r="E39" s="254"/>
    </row>
    <row r="40" spans="1:5" ht="30" x14ac:dyDescent="0.25">
      <c r="A40" s="254"/>
      <c r="B40" s="16" t="s">
        <v>56</v>
      </c>
      <c r="C40" s="9" t="s">
        <v>168</v>
      </c>
      <c r="D40" s="210">
        <f>IF(D10&lt;=8000000,D10*0.8,"nem választható")</f>
        <v>0</v>
      </c>
      <c r="E40" s="254"/>
    </row>
    <row r="41" spans="1:5" x14ac:dyDescent="0.25">
      <c r="A41" s="254"/>
      <c r="B41" s="16" t="s">
        <v>57</v>
      </c>
      <c r="C41" s="9" t="s">
        <v>338</v>
      </c>
      <c r="D41" s="169">
        <f>D37*1.2</f>
        <v>0</v>
      </c>
      <c r="E41" s="254"/>
    </row>
    <row r="42" spans="1:5" ht="17.25" x14ac:dyDescent="0.25">
      <c r="A42" s="254"/>
      <c r="B42" s="72" t="s">
        <v>58</v>
      </c>
      <c r="C42" s="11" t="s">
        <v>307</v>
      </c>
      <c r="D42" s="176">
        <f>MAX(0,MIN(D39,D40,D41)*D24)</f>
        <v>0</v>
      </c>
      <c r="E42" s="254"/>
    </row>
    <row r="43" spans="1:5" ht="23.25" customHeight="1" x14ac:dyDescent="0.25">
      <c r="A43" s="254"/>
      <c r="B43" s="420" t="s">
        <v>155</v>
      </c>
      <c r="C43" s="420"/>
      <c r="D43" s="420"/>
      <c r="E43" s="254"/>
    </row>
    <row r="44" spans="1:5" ht="16.5" customHeight="1" x14ac:dyDescent="0.25">
      <c r="A44" s="254"/>
      <c r="B44" s="213" t="s">
        <v>59</v>
      </c>
      <c r="C44" s="11" t="s">
        <v>336</v>
      </c>
      <c r="D44" s="176">
        <f>D45+D46+D47+D48+D49+D50</f>
        <v>0</v>
      </c>
      <c r="E44" s="254"/>
    </row>
    <row r="45" spans="1:5" x14ac:dyDescent="0.25">
      <c r="A45" s="254"/>
      <c r="B45" s="14" t="s">
        <v>60</v>
      </c>
      <c r="C45" s="9" t="s">
        <v>145</v>
      </c>
      <c r="D45" s="169">
        <f>'háttér kalkulátor'!J78</f>
        <v>0</v>
      </c>
      <c r="E45" s="254"/>
    </row>
    <row r="46" spans="1:5" x14ac:dyDescent="0.25">
      <c r="A46" s="254"/>
      <c r="B46" s="14" t="s">
        <v>61</v>
      </c>
      <c r="C46" s="215" t="s">
        <v>119</v>
      </c>
      <c r="D46" s="169">
        <f>'háttér kalkulátor'!J84</f>
        <v>0</v>
      </c>
      <c r="E46" s="254"/>
    </row>
    <row r="47" spans="1:5" x14ac:dyDescent="0.25">
      <c r="A47" s="254"/>
      <c r="B47" s="14" t="s">
        <v>62</v>
      </c>
      <c r="C47" s="215" t="s">
        <v>152</v>
      </c>
      <c r="D47" s="169">
        <f>'háttér kalkulátor'!J85</f>
        <v>0</v>
      </c>
      <c r="E47" s="254"/>
    </row>
    <row r="48" spans="1:5" x14ac:dyDescent="0.25">
      <c r="A48" s="254"/>
      <c r="B48" s="14" t="s">
        <v>63</v>
      </c>
      <c r="C48" s="215" t="s">
        <v>153</v>
      </c>
      <c r="D48" s="169">
        <f>'háttér kalkulátor'!J86</f>
        <v>0</v>
      </c>
      <c r="E48" s="254"/>
    </row>
    <row r="49" spans="1:5" x14ac:dyDescent="0.25">
      <c r="A49" s="254"/>
      <c r="B49" s="14" t="s">
        <v>64</v>
      </c>
      <c r="C49" s="215" t="s">
        <v>120</v>
      </c>
      <c r="D49" s="169">
        <f>'háttér kalkulátor'!J71</f>
        <v>0</v>
      </c>
      <c r="E49" s="254"/>
    </row>
    <row r="50" spans="1:5" x14ac:dyDescent="0.25">
      <c r="A50" s="254"/>
      <c r="B50" s="14" t="s">
        <v>65</v>
      </c>
      <c r="C50" s="3" t="s">
        <v>109</v>
      </c>
      <c r="D50" s="169">
        <f>'háttér kalkulátor'!J72</f>
        <v>0</v>
      </c>
      <c r="E50" s="254"/>
    </row>
    <row r="51" spans="1:5" ht="17.25" x14ac:dyDescent="0.25">
      <c r="A51" s="254"/>
      <c r="B51" s="214" t="s">
        <v>66</v>
      </c>
      <c r="C51" s="11" t="s">
        <v>303</v>
      </c>
      <c r="D51" s="176">
        <f>D22*0.15</f>
        <v>0</v>
      </c>
      <c r="E51" s="254"/>
    </row>
    <row r="52" spans="1:5" ht="51" customHeight="1" thickBot="1" x14ac:dyDescent="0.3">
      <c r="A52" s="254"/>
      <c r="B52" s="44" t="s">
        <v>67</v>
      </c>
      <c r="C52" s="11" t="s">
        <v>337</v>
      </c>
      <c r="D52" s="176">
        <f>(MAX(0,MIN(Főlap!$E$13*Főlap!E30,24*Minimálbér-Főlap!E23*12))+MAX(0,MIN(Főlap!$E$13*Főlap!F30,24*Minimálbér-Főlap!F23*12))+MAX(0,MIN(Főlap!$E$13*Főlap!G30,24*Minimálbér-Főlap!G23*12))+MAX(0,MIN(Főlap!$E$13*Főlap!H30,24*Minimálbér-Főlap!H23*12))+MAX(0,MIN(Főlap!$E$13*Főlap!I30,24*Minimálbér-Főlap!I23*12)))*Szocho</f>
        <v>0</v>
      </c>
      <c r="E52" s="254"/>
    </row>
    <row r="53" spans="1:5" ht="21.75" collapsed="1" thickBot="1" x14ac:dyDescent="0.3">
      <c r="A53" s="254"/>
      <c r="B53" s="421" t="s">
        <v>385</v>
      </c>
      <c r="C53" s="422"/>
      <c r="D53" s="17">
        <f>D56+D59+D64+D66+D73+D74</f>
        <v>0</v>
      </c>
      <c r="E53" s="254"/>
    </row>
    <row r="54" spans="1:5" ht="21.75" customHeight="1" x14ac:dyDescent="0.25">
      <c r="A54" s="254"/>
      <c r="B54" s="420" t="s">
        <v>154</v>
      </c>
      <c r="C54" s="420"/>
      <c r="D54" s="420"/>
      <c r="E54" s="254"/>
    </row>
    <row r="55" spans="1:5" ht="17.25" x14ac:dyDescent="0.25">
      <c r="A55" s="254"/>
      <c r="B55" s="348" t="s">
        <v>68</v>
      </c>
      <c r="C55" s="7" t="s">
        <v>339</v>
      </c>
      <c r="D55" s="169">
        <f>'háttér kalkulátor'!J55</f>
        <v>0</v>
      </c>
      <c r="E55" s="254"/>
    </row>
    <row r="56" spans="1:5" ht="32.25" x14ac:dyDescent="0.25">
      <c r="A56" s="254"/>
      <c r="B56" s="44" t="s">
        <v>69</v>
      </c>
      <c r="C56" s="50" t="s">
        <v>362</v>
      </c>
      <c r="D56" s="177">
        <f>(D14+D55)*(Szocho+Szakképzési_hozzájárulás)+(D15+D16*1.18)*Szocho-(D28+D30)*(Szocho+Szakképzési_hozzájárulás)-D29*Szocho*0.5-D31</f>
        <v>0</v>
      </c>
      <c r="E56" s="347"/>
    </row>
    <row r="57" spans="1:5" ht="17.25" x14ac:dyDescent="0.25">
      <c r="A57" s="254"/>
      <c r="B57" s="61" t="s">
        <v>70</v>
      </c>
      <c r="C57" s="9" t="s">
        <v>306</v>
      </c>
      <c r="D57" s="169">
        <f>D10-D13</f>
        <v>0</v>
      </c>
      <c r="E57" s="254"/>
    </row>
    <row r="58" spans="1:5" ht="30" x14ac:dyDescent="0.25">
      <c r="A58" s="254"/>
      <c r="B58" s="16" t="s">
        <v>71</v>
      </c>
      <c r="C58" s="9" t="s">
        <v>168</v>
      </c>
      <c r="D58" s="216">
        <f>IF(D10&lt;=8000000,D10*0.8,"nem választható")</f>
        <v>0</v>
      </c>
      <c r="E58" s="254"/>
    </row>
    <row r="59" spans="1:5" ht="17.25" x14ac:dyDescent="0.25">
      <c r="A59" s="254"/>
      <c r="B59" s="174" t="s">
        <v>72</v>
      </c>
      <c r="C59" s="11" t="s">
        <v>310</v>
      </c>
      <c r="D59" s="164">
        <f>MAX(0,MIN(D57,D58)*D24)</f>
        <v>0</v>
      </c>
      <c r="E59" s="254"/>
    </row>
    <row r="60" spans="1:5" x14ac:dyDescent="0.25">
      <c r="A60" s="254"/>
      <c r="B60" s="16" t="s">
        <v>73</v>
      </c>
      <c r="C60" s="43" t="s">
        <v>143</v>
      </c>
      <c r="D60" s="167">
        <f>D10+D11+D12</f>
        <v>0</v>
      </c>
      <c r="E60" s="254"/>
    </row>
    <row r="61" spans="1:5" x14ac:dyDescent="0.25">
      <c r="A61" s="254"/>
      <c r="B61" s="16" t="s">
        <v>74</v>
      </c>
      <c r="C61" s="43" t="s">
        <v>169</v>
      </c>
      <c r="D61" s="167">
        <f>SUM(D13:D19)+D56+D59</f>
        <v>0</v>
      </c>
      <c r="E61" s="254"/>
    </row>
    <row r="62" spans="1:5" x14ac:dyDescent="0.25">
      <c r="A62" s="254"/>
      <c r="B62" s="16" t="s">
        <v>75</v>
      </c>
      <c r="C62" s="43" t="s">
        <v>144</v>
      </c>
      <c r="D62" s="167">
        <f>D60-D61</f>
        <v>0</v>
      </c>
      <c r="E62" s="254"/>
    </row>
    <row r="63" spans="1:5" ht="17.25" x14ac:dyDescent="0.25">
      <c r="A63" s="254"/>
      <c r="B63" s="16" t="s">
        <v>76</v>
      </c>
      <c r="C63" s="51" t="s">
        <v>308</v>
      </c>
      <c r="D63" s="165">
        <f>MAX(D62-D11,0)</f>
        <v>0</v>
      </c>
      <c r="E63" s="254"/>
    </row>
    <row r="64" spans="1:5" ht="17.25" x14ac:dyDescent="0.25">
      <c r="A64" s="254"/>
      <c r="B64" s="174" t="s">
        <v>77</v>
      </c>
      <c r="C64" s="62" t="s">
        <v>309</v>
      </c>
      <c r="D64" s="168">
        <f>MAX(D63*Tao,0)</f>
        <v>0</v>
      </c>
      <c r="E64" s="254"/>
    </row>
    <row r="65" spans="1:5" ht="21.75" customHeight="1" x14ac:dyDescent="0.25">
      <c r="A65" s="254"/>
      <c r="B65" s="420" t="s">
        <v>155</v>
      </c>
      <c r="C65" s="420"/>
      <c r="D65" s="420"/>
      <c r="E65" s="254"/>
    </row>
    <row r="66" spans="1:5" ht="16.5" customHeight="1" x14ac:dyDescent="0.25">
      <c r="A66" s="254"/>
      <c r="B66" s="213" t="s">
        <v>78</v>
      </c>
      <c r="C66" s="11" t="s">
        <v>340</v>
      </c>
      <c r="D66" s="176">
        <f>D67+D68+D69+D70+D71+D72</f>
        <v>0</v>
      </c>
      <c r="E66" s="254"/>
    </row>
    <row r="67" spans="1:5" x14ac:dyDescent="0.25">
      <c r="A67" s="254"/>
      <c r="B67" s="14" t="s">
        <v>79</v>
      </c>
      <c r="C67" s="12" t="s">
        <v>145</v>
      </c>
      <c r="D67" s="169">
        <f>'háttér kalkulátor'!J78</f>
        <v>0</v>
      </c>
      <c r="E67" s="254"/>
    </row>
    <row r="68" spans="1:5" x14ac:dyDescent="0.25">
      <c r="A68" s="254"/>
      <c r="B68" s="14" t="s">
        <v>80</v>
      </c>
      <c r="C68" s="47" t="s">
        <v>119</v>
      </c>
      <c r="D68" s="169">
        <f>'háttér kalkulátor'!J84</f>
        <v>0</v>
      </c>
      <c r="E68" s="254"/>
    </row>
    <row r="69" spans="1:5" x14ac:dyDescent="0.25">
      <c r="A69" s="254"/>
      <c r="B69" s="14" t="s">
        <v>81</v>
      </c>
      <c r="C69" s="47" t="s">
        <v>152</v>
      </c>
      <c r="D69" s="169">
        <f>'háttér kalkulátor'!J85</f>
        <v>0</v>
      </c>
      <c r="E69" s="254"/>
    </row>
    <row r="70" spans="1:5" x14ac:dyDescent="0.25">
      <c r="A70" s="254"/>
      <c r="B70" s="14" t="s">
        <v>82</v>
      </c>
      <c r="C70" s="47" t="s">
        <v>153</v>
      </c>
      <c r="D70" s="169">
        <f>'háttér kalkulátor'!J86</f>
        <v>0</v>
      </c>
      <c r="E70" s="254"/>
    </row>
    <row r="71" spans="1:5" x14ac:dyDescent="0.25">
      <c r="A71" s="254"/>
      <c r="B71" s="14" t="s">
        <v>83</v>
      </c>
      <c r="C71" s="47" t="s">
        <v>120</v>
      </c>
      <c r="D71" s="169">
        <f>'háttér kalkulátor'!J71</f>
        <v>0</v>
      </c>
      <c r="E71" s="254"/>
    </row>
    <row r="72" spans="1:5" x14ac:dyDescent="0.25">
      <c r="A72" s="254"/>
      <c r="B72" s="14" t="s">
        <v>84</v>
      </c>
      <c r="C72" s="3" t="s">
        <v>109</v>
      </c>
      <c r="D72" s="169">
        <f>'háttér kalkulátor'!J72</f>
        <v>0</v>
      </c>
      <c r="E72" s="254"/>
    </row>
    <row r="73" spans="1:5" ht="17.25" x14ac:dyDescent="0.25">
      <c r="A73" s="254"/>
      <c r="B73" s="214" t="s">
        <v>85</v>
      </c>
      <c r="C73" s="11" t="s">
        <v>303</v>
      </c>
      <c r="D73" s="176">
        <f>D22*0.15</f>
        <v>0</v>
      </c>
      <c r="E73" s="254"/>
    </row>
    <row r="74" spans="1:5" ht="48" thickBot="1" x14ac:dyDescent="0.3">
      <c r="A74" s="254"/>
      <c r="B74" s="44" t="s">
        <v>86</v>
      </c>
      <c r="C74" s="11" t="s">
        <v>311</v>
      </c>
      <c r="D74" s="176">
        <f>(MAX(0,MIN(Főlap!$E$13*Főlap!E30,24*Minimálbér-Főlap!E23*12))+MAX(0,MIN(Főlap!$E$13*Főlap!F30,24*Minimálbér-Főlap!F23*12))+MAX(0,MIN(Főlap!$E$13*Főlap!G30,24*Minimálbér-Főlap!G23*12))+MAX(0,MIN(Főlap!$E$13*Főlap!H30,24*Minimálbér-Főlap!H23*12))+MAX(0,MIN(Főlap!$E$13*Főlap!I30,24*Minimálbér-Főlap!I23*12)))*Szocho</f>
        <v>0</v>
      </c>
      <c r="E74" s="254"/>
    </row>
    <row r="75" spans="1:5" ht="21.75" collapsed="1" thickBot="1" x14ac:dyDescent="0.3">
      <c r="A75" s="254"/>
      <c r="B75" s="421" t="s">
        <v>391</v>
      </c>
      <c r="C75" s="422"/>
      <c r="D75" s="17">
        <f>D76+D80+D81</f>
        <v>600000</v>
      </c>
      <c r="E75" s="263"/>
    </row>
    <row r="76" spans="1:5" ht="32.25" x14ac:dyDescent="0.25">
      <c r="A76" s="254"/>
      <c r="B76" s="44" t="s">
        <v>87</v>
      </c>
      <c r="C76" s="49" t="s">
        <v>355</v>
      </c>
      <c r="D76" s="160">
        <f>((D25-D26)*KATA_főállású+D26*KATA_emelt+D27*KATA_mellékállású)*12+MAX(0,D10+D11+D12-KATA_bevételi_határ)*KATA_százalékos</f>
        <v>600000</v>
      </c>
      <c r="E76" s="254"/>
    </row>
    <row r="77" spans="1:5" ht="17.25" x14ac:dyDescent="0.25">
      <c r="A77" s="254"/>
      <c r="B77" s="61" t="s">
        <v>147</v>
      </c>
      <c r="C77" s="9" t="s">
        <v>306</v>
      </c>
      <c r="D77" s="167">
        <f>D10-D13</f>
        <v>0</v>
      </c>
      <c r="E77" s="254"/>
    </row>
    <row r="78" spans="1:5" ht="30" x14ac:dyDescent="0.25">
      <c r="A78" s="254"/>
      <c r="B78" s="16" t="s">
        <v>148</v>
      </c>
      <c r="C78" s="49" t="s">
        <v>168</v>
      </c>
      <c r="D78" s="216">
        <f>IF(D10&lt;=8000000,D10*0.8,"nem választható")</f>
        <v>0</v>
      </c>
      <c r="E78" s="254"/>
    </row>
    <row r="79" spans="1:5" ht="17.25" x14ac:dyDescent="0.25">
      <c r="A79" s="254"/>
      <c r="B79" s="16" t="s">
        <v>149</v>
      </c>
      <c r="C79" s="49" t="s">
        <v>392</v>
      </c>
      <c r="D79" s="161">
        <f>KATA_HIPA_alap</f>
        <v>2500000</v>
      </c>
      <c r="E79" s="254"/>
    </row>
    <row r="80" spans="1:5" ht="17.25" x14ac:dyDescent="0.25">
      <c r="A80" s="254"/>
      <c r="B80" s="72" t="s">
        <v>150</v>
      </c>
      <c r="C80" s="9" t="s">
        <v>312</v>
      </c>
      <c r="D80" s="176">
        <f>MAX(0,MIN(D77,D78,D79)*D24)</f>
        <v>0</v>
      </c>
      <c r="E80" s="254"/>
    </row>
    <row r="81" spans="1:8" ht="47.25" x14ac:dyDescent="0.25">
      <c r="A81" s="254"/>
      <c r="B81" s="29" t="s">
        <v>151</v>
      </c>
      <c r="C81" s="9" t="s">
        <v>366</v>
      </c>
      <c r="D81" s="171">
        <f>(D14+D15+D16*1.18)*Szocho+(D14)*Szakképzési_hozzájárulás-D28*(Szocho+Szakképzési_hozzájárulás)-D29*Szocho*0.5-D31</f>
        <v>0</v>
      </c>
      <c r="E81" s="254"/>
    </row>
    <row r="82" spans="1:8" ht="8.25" customHeight="1" collapsed="1" x14ac:dyDescent="0.25">
      <c r="A82" s="254"/>
      <c r="B82" s="439"/>
      <c r="C82" s="439"/>
      <c r="D82" s="439"/>
      <c r="E82" s="254"/>
    </row>
    <row r="83" spans="1:8" x14ac:dyDescent="0.25">
      <c r="A83" s="254"/>
      <c r="B83" s="412" t="s">
        <v>224</v>
      </c>
      <c r="C83" s="412"/>
      <c r="D83" s="412"/>
      <c r="E83" s="254"/>
    </row>
    <row r="84" spans="1:8" x14ac:dyDescent="0.25">
      <c r="A84" s="254"/>
      <c r="B84" s="412" t="s">
        <v>225</v>
      </c>
      <c r="C84" s="412"/>
      <c r="D84" s="412"/>
      <c r="E84" s="254"/>
    </row>
    <row r="85" spans="1:8" ht="45" customHeight="1" x14ac:dyDescent="0.25">
      <c r="A85" s="254"/>
      <c r="B85" s="440" t="s">
        <v>179</v>
      </c>
      <c r="C85" s="440"/>
      <c r="D85" s="440"/>
      <c r="E85" s="71"/>
      <c r="F85" s="71"/>
      <c r="G85" s="71"/>
      <c r="H85" s="71"/>
    </row>
    <row r="86" spans="1:8" ht="51.75" customHeight="1" x14ac:dyDescent="0.25">
      <c r="A86" s="254"/>
      <c r="B86" s="434" t="s">
        <v>180</v>
      </c>
      <c r="C86" s="434"/>
      <c r="D86" s="434"/>
      <c r="E86" s="254"/>
    </row>
    <row r="87" spans="1:8" ht="29.25" customHeight="1" x14ac:dyDescent="0.25">
      <c r="A87" s="254"/>
      <c r="B87" s="434" t="s">
        <v>262</v>
      </c>
      <c r="C87" s="434"/>
      <c r="D87" s="434"/>
      <c r="E87" s="71"/>
      <c r="F87" s="71"/>
      <c r="G87" s="71"/>
      <c r="H87" s="71"/>
    </row>
    <row r="88" spans="1:8" ht="18" customHeight="1" x14ac:dyDescent="0.25">
      <c r="A88" s="254"/>
      <c r="B88" s="434" t="s">
        <v>313</v>
      </c>
      <c r="C88" s="434"/>
      <c r="D88" s="434"/>
      <c r="E88" s="254"/>
    </row>
    <row r="89" spans="1:8" ht="61.5" customHeight="1" x14ac:dyDescent="0.25">
      <c r="A89" s="254"/>
      <c r="B89" s="434" t="s">
        <v>393</v>
      </c>
      <c r="C89" s="434"/>
      <c r="D89" s="434"/>
      <c r="E89" s="254"/>
    </row>
    <row r="90" spans="1:8" ht="31.5" customHeight="1" x14ac:dyDescent="0.25">
      <c r="A90" s="254"/>
      <c r="B90" s="434" t="s">
        <v>314</v>
      </c>
      <c r="C90" s="434"/>
      <c r="D90" s="434"/>
      <c r="E90" s="254"/>
    </row>
    <row r="91" spans="1:8" ht="92.25" customHeight="1" x14ac:dyDescent="0.25">
      <c r="A91" s="254"/>
      <c r="B91" s="350" t="s">
        <v>315</v>
      </c>
      <c r="C91" s="350"/>
      <c r="D91" s="350"/>
      <c r="E91" s="254"/>
    </row>
    <row r="92" spans="1:8" ht="18" customHeight="1" x14ac:dyDescent="0.25">
      <c r="A92" s="254"/>
      <c r="B92" s="434" t="s">
        <v>316</v>
      </c>
      <c r="C92" s="434"/>
      <c r="D92" s="434"/>
      <c r="E92" s="254"/>
    </row>
    <row r="93" spans="1:8" ht="30.75" customHeight="1" x14ac:dyDescent="0.25">
      <c r="A93" s="254"/>
      <c r="B93" s="434" t="s">
        <v>341</v>
      </c>
      <c r="C93" s="434"/>
      <c r="D93" s="434"/>
      <c r="E93" s="254"/>
    </row>
    <row r="94" spans="1:8" ht="14.25" customHeight="1" x14ac:dyDescent="0.25">
      <c r="A94" s="254"/>
      <c r="B94" s="438" t="s">
        <v>265</v>
      </c>
      <c r="C94" s="438"/>
      <c r="D94" s="438"/>
      <c r="E94" s="254"/>
    </row>
    <row r="95" spans="1:8" ht="75.75" customHeight="1" x14ac:dyDescent="0.25">
      <c r="A95" s="254"/>
      <c r="B95" s="434" t="s">
        <v>317</v>
      </c>
      <c r="C95" s="434"/>
      <c r="D95" s="434"/>
      <c r="E95" s="254"/>
    </row>
    <row r="96" spans="1:8" ht="18" customHeight="1" x14ac:dyDescent="0.25">
      <c r="A96" s="254"/>
      <c r="B96" s="412" t="s">
        <v>318</v>
      </c>
      <c r="C96" s="412"/>
      <c r="D96" s="412"/>
      <c r="E96" s="254"/>
    </row>
    <row r="97" spans="1:5" ht="31.5" customHeight="1" x14ac:dyDescent="0.25">
      <c r="A97" s="254"/>
      <c r="B97" s="413" t="s">
        <v>342</v>
      </c>
      <c r="C97" s="414"/>
      <c r="D97" s="414"/>
      <c r="E97" s="254"/>
    </row>
    <row r="98" spans="1:5" ht="63" customHeight="1" x14ac:dyDescent="0.25">
      <c r="A98" s="254"/>
      <c r="B98" s="434" t="s">
        <v>319</v>
      </c>
      <c r="C98" s="434"/>
      <c r="D98" s="434"/>
      <c r="E98" s="254"/>
    </row>
    <row r="99" spans="1:5" ht="49.5" customHeight="1" x14ac:dyDescent="0.25">
      <c r="A99" s="254"/>
      <c r="B99" s="434" t="s">
        <v>363</v>
      </c>
      <c r="C99" s="434"/>
      <c r="D99" s="434"/>
      <c r="E99" s="254"/>
    </row>
    <row r="100" spans="1:5" ht="42.75" customHeight="1" x14ac:dyDescent="0.25">
      <c r="A100" s="254"/>
      <c r="B100" s="434" t="s">
        <v>394</v>
      </c>
      <c r="C100" s="434"/>
      <c r="D100" s="434"/>
      <c r="E100" s="254"/>
    </row>
    <row r="101" spans="1:5" ht="15" customHeight="1" x14ac:dyDescent="0.25">
      <c r="A101" s="254"/>
      <c r="B101" s="441"/>
      <c r="C101" s="441"/>
      <c r="D101" s="441"/>
      <c r="E101" s="254"/>
    </row>
    <row r="102" spans="1:5" hidden="1" x14ac:dyDescent="0.25">
      <c r="A102" s="254"/>
      <c r="B102" s="69"/>
      <c r="C102" s="70"/>
      <c r="D102" s="70"/>
      <c r="E102" s="254"/>
    </row>
    <row r="103" spans="1:5" hidden="1" x14ac:dyDescent="0.25">
      <c r="B103" s="254"/>
      <c r="C103" s="254"/>
      <c r="D103" s="254"/>
      <c r="E103" s="254"/>
    </row>
    <row r="104" spans="1:5" hidden="1" x14ac:dyDescent="0.25"/>
    <row r="105" spans="1:5" hidden="1" x14ac:dyDescent="0.25"/>
    <row r="106" spans="1:5" hidden="1" x14ac:dyDescent="0.25"/>
    <row r="107" spans="1:5" hidden="1" x14ac:dyDescent="0.25"/>
    <row r="108" spans="1:5" hidden="1" x14ac:dyDescent="0.25"/>
    <row r="109" spans="1:5" hidden="1" x14ac:dyDescent="0.25"/>
    <row r="110" spans="1:5" hidden="1" x14ac:dyDescent="0.25"/>
    <row r="111" spans="1:5" hidden="1" x14ac:dyDescent="0.25"/>
    <row r="112" spans="1:5"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t="1.5" customHeight="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sheetData>
  <sheetProtection password="9242" sheet="1" objects="1" scenarios="1"/>
  <protectedRanges>
    <protectedRange sqref="D11 D12 D15 D16 D20 D21 D31" name="Range1"/>
  </protectedRanges>
  <mergeCells count="36">
    <mergeCell ref="B32:C32"/>
    <mergeCell ref="B53:C53"/>
    <mergeCell ref="B75:C75"/>
    <mergeCell ref="B33:D33"/>
    <mergeCell ref="B43:D43"/>
    <mergeCell ref="B54:D54"/>
    <mergeCell ref="B65:D65"/>
    <mergeCell ref="B9:D9"/>
    <mergeCell ref="B23:D23"/>
    <mergeCell ref="B1:D1"/>
    <mergeCell ref="B2:D2"/>
    <mergeCell ref="B8:C8"/>
    <mergeCell ref="B3:D3"/>
    <mergeCell ref="B4:D4"/>
    <mergeCell ref="B6:D6"/>
    <mergeCell ref="B5:D5"/>
    <mergeCell ref="B101:D101"/>
    <mergeCell ref="B99:D99"/>
    <mergeCell ref="B97:D97"/>
    <mergeCell ref="B96:D96"/>
    <mergeCell ref="B98:D98"/>
    <mergeCell ref="B100:D100"/>
    <mergeCell ref="B91:D91"/>
    <mergeCell ref="B92:D92"/>
    <mergeCell ref="B93:D93"/>
    <mergeCell ref="B95:D95"/>
    <mergeCell ref="B88:D88"/>
    <mergeCell ref="B89:D89"/>
    <mergeCell ref="B90:D90"/>
    <mergeCell ref="B94:D94"/>
    <mergeCell ref="B82:D82"/>
    <mergeCell ref="B83:D83"/>
    <mergeCell ref="B84:D84"/>
    <mergeCell ref="B85:D85"/>
    <mergeCell ref="B87:D87"/>
    <mergeCell ref="B86:D86"/>
  </mergeCells>
  <hyperlinks>
    <hyperlink ref="B94" r:id="rId1" display="NAV füzet a társas vállalkozók jarulekfizetesi szabalyairól"/>
    <hyperlink ref="B94:D94" r:id="rId2" display="NAV információs füzet a társas vállalkozók járulékfizetési szabalyairól"/>
  </hyperlinks>
  <pageMargins left="0.7" right="0.7" top="0.75" bottom="0.75" header="0.3" footer="0.3"/>
  <pageSetup paperSize="9" orientation="portrait" r:id="rId3"/>
  <extLst>
    <ext xmlns:x14="http://schemas.microsoft.com/office/spreadsheetml/2009/9/main" uri="{78C0D931-6437-407d-A8EE-F0AAD7539E65}">
      <x14:conditionalFormattings>
        <x14:conditionalFormatting xmlns:xm="http://schemas.microsoft.com/office/excel/2006/main">
          <x14:cfRule type="expression" priority="1" id="{ABE2B2C3-B23A-46ED-8591-701FA51FD06F}">
            <xm:f>Főlap!$E$8&lt;&gt;'listák, paraméterek'!$A$3</xm:f>
            <x14:dxf>
              <font>
                <color theme="0" tint="-0.24994659260841701"/>
              </font>
              <fill>
                <patternFill patternType="lightDown">
                  <bgColor theme="0"/>
                </patternFill>
              </fill>
              <border>
                <left/>
                <right/>
                <top/>
                <bottom/>
              </border>
            </x14:dxf>
          </x14:cfRule>
          <xm:sqref>A1:I160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C46"/>
  <sheetViews>
    <sheetView zoomScale="85" zoomScaleNormal="85" workbookViewId="0">
      <selection activeCell="F72" sqref="F72"/>
    </sheetView>
  </sheetViews>
  <sheetFormatPr defaultRowHeight="15" x14ac:dyDescent="0.25"/>
  <cols>
    <col min="1" max="1" width="73.140625" customWidth="1"/>
    <col min="2" max="3" width="13.85546875" bestFit="1" customWidth="1"/>
    <col min="7" max="7" width="17" bestFit="1" customWidth="1"/>
  </cols>
  <sheetData>
    <row r="1" spans="1:2" s="24" customFormat="1" x14ac:dyDescent="0.25">
      <c r="A1" t="s">
        <v>10</v>
      </c>
    </row>
    <row r="2" spans="1:2" s="24" customFormat="1" x14ac:dyDescent="0.25">
      <c r="A2" t="s">
        <v>8</v>
      </c>
    </row>
    <row r="3" spans="1:2" s="24" customFormat="1" x14ac:dyDescent="0.25">
      <c r="A3" t="s">
        <v>9</v>
      </c>
    </row>
    <row r="4" spans="1:2" s="24" customFormat="1" x14ac:dyDescent="0.25"/>
    <row r="5" spans="1:2" s="24" customFormat="1" x14ac:dyDescent="0.25">
      <c r="A5" t="s">
        <v>10</v>
      </c>
    </row>
    <row r="6" spans="1:2" s="24" customFormat="1" x14ac:dyDescent="0.25">
      <c r="A6" t="s">
        <v>123</v>
      </c>
    </row>
    <row r="7" spans="1:2" s="24" customFormat="1" x14ac:dyDescent="0.25">
      <c r="A7" t="s">
        <v>124</v>
      </c>
    </row>
    <row r="8" spans="1:2" s="24" customFormat="1" x14ac:dyDescent="0.25"/>
    <row r="9" spans="1:2" x14ac:dyDescent="0.25">
      <c r="A9" t="s">
        <v>114</v>
      </c>
      <c r="B9" t="s">
        <v>115</v>
      </c>
    </row>
    <row r="10" spans="1:2" x14ac:dyDescent="0.25">
      <c r="A10" t="s">
        <v>96</v>
      </c>
      <c r="B10" s="21">
        <v>0.17499999999999999</v>
      </c>
    </row>
    <row r="11" spans="1:2" x14ac:dyDescent="0.25">
      <c r="A11" t="s">
        <v>97</v>
      </c>
      <c r="B11" s="21">
        <v>1.4999999999999999E-2</v>
      </c>
    </row>
    <row r="12" spans="1:2" x14ac:dyDescent="0.25">
      <c r="A12" t="s">
        <v>112</v>
      </c>
      <c r="B12" s="21">
        <v>0.12</v>
      </c>
    </row>
    <row r="13" spans="1:2" x14ac:dyDescent="0.25">
      <c r="A13" t="s">
        <v>113</v>
      </c>
      <c r="B13" s="21">
        <v>0.09</v>
      </c>
    </row>
    <row r="14" spans="1:2" x14ac:dyDescent="0.25">
      <c r="A14" t="s">
        <v>98</v>
      </c>
      <c r="B14" s="22">
        <v>50000</v>
      </c>
    </row>
    <row r="15" spans="1:2" x14ac:dyDescent="0.25">
      <c r="A15" t="s">
        <v>99</v>
      </c>
      <c r="B15" s="22">
        <v>25000</v>
      </c>
    </row>
    <row r="16" spans="1:2" x14ac:dyDescent="0.25">
      <c r="A16" t="s">
        <v>100</v>
      </c>
      <c r="B16" s="22">
        <v>75000</v>
      </c>
    </row>
    <row r="17" spans="1:3" x14ac:dyDescent="0.25">
      <c r="A17" t="s">
        <v>101</v>
      </c>
      <c r="B17" s="22">
        <v>12000000</v>
      </c>
    </row>
    <row r="18" spans="1:3" x14ac:dyDescent="0.25">
      <c r="A18" t="s">
        <v>102</v>
      </c>
      <c r="B18" s="21">
        <v>0.4</v>
      </c>
    </row>
    <row r="19" spans="1:3" x14ac:dyDescent="0.25">
      <c r="A19" t="s">
        <v>103</v>
      </c>
      <c r="B19" s="21">
        <v>0.15</v>
      </c>
    </row>
    <row r="20" spans="1:3" x14ac:dyDescent="0.25">
      <c r="A20" t="s">
        <v>104</v>
      </c>
      <c r="B20" s="21">
        <v>0.09</v>
      </c>
    </row>
    <row r="21" spans="1:3" x14ac:dyDescent="0.25">
      <c r="A21" t="s">
        <v>105</v>
      </c>
      <c r="B21" s="21">
        <v>0.1</v>
      </c>
    </row>
    <row r="22" spans="1:3" x14ac:dyDescent="0.25">
      <c r="A22" t="s">
        <v>106</v>
      </c>
      <c r="B22" s="21">
        <v>0.04</v>
      </c>
    </row>
    <row r="23" spans="1:3" x14ac:dyDescent="0.25">
      <c r="A23" t="s">
        <v>107</v>
      </c>
      <c r="B23" s="21">
        <v>0.03</v>
      </c>
    </row>
    <row r="24" spans="1:3" x14ac:dyDescent="0.25">
      <c r="A24" t="s">
        <v>108</v>
      </c>
      <c r="B24" s="21">
        <v>1.4999999999999999E-2</v>
      </c>
    </row>
    <row r="25" spans="1:3" x14ac:dyDescent="0.25">
      <c r="A25" t="s">
        <v>109</v>
      </c>
      <c r="B25" s="22">
        <v>7710</v>
      </c>
    </row>
    <row r="26" spans="1:3" x14ac:dyDescent="0.25">
      <c r="A26" t="s">
        <v>110</v>
      </c>
      <c r="B26" s="22">
        <v>161000</v>
      </c>
    </row>
    <row r="27" spans="1:3" x14ac:dyDescent="0.25">
      <c r="A27" t="s">
        <v>111</v>
      </c>
      <c r="B27" s="22">
        <v>210600</v>
      </c>
    </row>
    <row r="28" spans="1:3" s="25" customFormat="1" x14ac:dyDescent="0.25">
      <c r="A28" s="25" t="s">
        <v>127</v>
      </c>
      <c r="B28" s="22">
        <v>2500000</v>
      </c>
    </row>
    <row r="30" spans="1:3" x14ac:dyDescent="0.25">
      <c r="A30" t="s">
        <v>92</v>
      </c>
      <c r="B30" t="s">
        <v>93</v>
      </c>
      <c r="C30" t="s">
        <v>94</v>
      </c>
    </row>
    <row r="31" spans="1:3" x14ac:dyDescent="0.25">
      <c r="A31" s="48" t="s">
        <v>95</v>
      </c>
      <c r="B31" s="20">
        <v>0</v>
      </c>
      <c r="C31" s="22"/>
    </row>
    <row r="32" spans="1:3" ht="38.25" customHeight="1" x14ac:dyDescent="0.25">
      <c r="A32" s="48" t="s">
        <v>196</v>
      </c>
      <c r="B32" s="20">
        <v>0.5</v>
      </c>
      <c r="C32" s="22">
        <f>Minimálbér</f>
        <v>161000</v>
      </c>
    </row>
    <row r="33" spans="1:3" s="46" customFormat="1" x14ac:dyDescent="0.25">
      <c r="A33" s="75" t="s">
        <v>195</v>
      </c>
      <c r="B33" s="76">
        <v>0.5</v>
      </c>
      <c r="C33" s="22">
        <v>161000</v>
      </c>
    </row>
    <row r="34" spans="1:3" x14ac:dyDescent="0.25">
      <c r="A34" s="48" t="s">
        <v>189</v>
      </c>
      <c r="B34" s="20">
        <v>1</v>
      </c>
      <c r="C34" s="22">
        <f>Minimálbér</f>
        <v>161000</v>
      </c>
    </row>
    <row r="35" spans="1:3" x14ac:dyDescent="0.25">
      <c r="A35" s="48" t="s">
        <v>190</v>
      </c>
      <c r="B35" s="20">
        <v>0.5</v>
      </c>
      <c r="C35" s="22">
        <f>Minimálbér</f>
        <v>161000</v>
      </c>
    </row>
    <row r="36" spans="1:3" x14ac:dyDescent="0.25">
      <c r="A36" s="48" t="s">
        <v>191</v>
      </c>
      <c r="B36" s="20">
        <v>1</v>
      </c>
      <c r="C36" s="22">
        <f>Minimálbér</f>
        <v>161000</v>
      </c>
    </row>
    <row r="37" spans="1:3" x14ac:dyDescent="0.25">
      <c r="A37" s="48" t="s">
        <v>192</v>
      </c>
      <c r="B37" s="20">
        <v>0.5</v>
      </c>
      <c r="C37" s="22">
        <f>Minimálbér</f>
        <v>161000</v>
      </c>
    </row>
    <row r="38" spans="1:3" x14ac:dyDescent="0.25">
      <c r="A38" s="48" t="s">
        <v>193</v>
      </c>
      <c r="B38" s="20">
        <v>1</v>
      </c>
      <c r="C38" s="22">
        <f>2*Minimálbér</f>
        <v>322000</v>
      </c>
    </row>
    <row r="39" spans="1:3" x14ac:dyDescent="0.25">
      <c r="A39" s="48" t="s">
        <v>188</v>
      </c>
      <c r="B39" s="20">
        <v>1</v>
      </c>
      <c r="C39" s="22">
        <v>500000</v>
      </c>
    </row>
    <row r="40" spans="1:3" x14ac:dyDescent="0.25">
      <c r="A40" s="48" t="s">
        <v>194</v>
      </c>
      <c r="B40" s="20">
        <v>0.5</v>
      </c>
      <c r="C40" s="22">
        <v>200000</v>
      </c>
    </row>
    <row r="41" spans="1:3" s="24" customFormat="1" x14ac:dyDescent="0.25"/>
    <row r="42" spans="1:3" ht="45" x14ac:dyDescent="0.25">
      <c r="A42" s="23" t="s">
        <v>116</v>
      </c>
      <c r="B42" s="23" t="s">
        <v>117</v>
      </c>
    </row>
    <row r="43" spans="1:3" x14ac:dyDescent="0.25">
      <c r="A43" s="20">
        <v>0.4</v>
      </c>
      <c r="B43" s="20">
        <v>0.25</v>
      </c>
    </row>
    <row r="44" spans="1:3" x14ac:dyDescent="0.25">
      <c r="A44" s="20">
        <v>0.8</v>
      </c>
      <c r="B44" s="20">
        <v>0.75</v>
      </c>
    </row>
    <row r="45" spans="1:3" x14ac:dyDescent="0.25">
      <c r="A45" s="20">
        <v>0.87</v>
      </c>
      <c r="B45" s="20">
        <v>0.83</v>
      </c>
    </row>
    <row r="46" spans="1:3" x14ac:dyDescent="0.25">
      <c r="A46" s="20">
        <v>0.93</v>
      </c>
      <c r="B46" s="20">
        <v>0.91</v>
      </c>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41"/>
  <sheetViews>
    <sheetView zoomScaleNormal="100" workbookViewId="0">
      <selection activeCell="F72" sqref="F72"/>
    </sheetView>
  </sheetViews>
  <sheetFormatPr defaultRowHeight="15" x14ac:dyDescent="0.25"/>
  <cols>
    <col min="1" max="1" width="2.85546875" style="46" customWidth="1"/>
    <col min="2" max="2" width="3.28515625" style="65" customWidth="1"/>
    <col min="3" max="3" width="55" customWidth="1"/>
    <col min="4" max="4" width="23.42578125" customWidth="1"/>
    <col min="5" max="10" width="21.28515625" customWidth="1"/>
    <col min="11" max="11" width="24.85546875" customWidth="1"/>
    <col min="12" max="12" width="19" bestFit="1" customWidth="1"/>
  </cols>
  <sheetData>
    <row r="1" spans="1:10" s="46" customFormat="1" ht="30.75" thickBot="1" x14ac:dyDescent="0.3">
      <c r="B1" s="65"/>
      <c r="C1" s="159" t="s">
        <v>204</v>
      </c>
      <c r="D1" s="89" t="s">
        <v>203</v>
      </c>
      <c r="E1" s="239" t="s">
        <v>345</v>
      </c>
      <c r="F1" s="90" t="s">
        <v>208</v>
      </c>
    </row>
    <row r="2" spans="1:10" x14ac:dyDescent="0.25">
      <c r="J2" s="45"/>
    </row>
    <row r="3" spans="1:10" s="45" customFormat="1" ht="19.5" thickBot="1" x14ac:dyDescent="0.35">
      <c r="B3" s="65"/>
      <c r="C3" s="465"/>
      <c r="D3" s="465"/>
      <c r="E3" s="206" t="s">
        <v>12</v>
      </c>
      <c r="F3" s="206" t="s">
        <v>13</v>
      </c>
      <c r="G3" s="206" t="s">
        <v>14</v>
      </c>
      <c r="H3" s="206" t="s">
        <v>15</v>
      </c>
      <c r="I3" s="206" t="s">
        <v>16</v>
      </c>
      <c r="J3" s="206" t="s">
        <v>206</v>
      </c>
    </row>
    <row r="4" spans="1:10" ht="21.75" thickBot="1" x14ac:dyDescent="0.3">
      <c r="C4" s="472" t="s">
        <v>267</v>
      </c>
      <c r="D4" s="445"/>
      <c r="E4" s="445"/>
      <c r="F4" s="445"/>
      <c r="G4" s="445"/>
      <c r="H4" s="445"/>
      <c r="I4" s="445"/>
      <c r="J4" s="446"/>
    </row>
    <row r="5" spans="1:10" x14ac:dyDescent="0.25">
      <c r="C5" s="469" t="s">
        <v>19</v>
      </c>
      <c r="D5" s="469"/>
      <c r="E5" s="91">
        <f>Főlap!E36</f>
        <v>0</v>
      </c>
      <c r="F5" s="91">
        <f>Főlap!F36</f>
        <v>0</v>
      </c>
      <c r="G5" s="91">
        <f>Főlap!G36</f>
        <v>0</v>
      </c>
      <c r="H5" s="91">
        <f>Főlap!H36</f>
        <v>0</v>
      </c>
      <c r="I5" s="92">
        <f>Főlap!I36</f>
        <v>0</v>
      </c>
      <c r="J5" s="94"/>
    </row>
    <row r="6" spans="1:10" x14ac:dyDescent="0.25">
      <c r="C6" s="470" t="s">
        <v>20</v>
      </c>
      <c r="D6" s="470"/>
      <c r="E6" s="81">
        <f>Főlap!E37</f>
        <v>0</v>
      </c>
      <c r="F6" s="81">
        <f>Főlap!F37</f>
        <v>0</v>
      </c>
      <c r="G6" s="81">
        <f>Főlap!G37</f>
        <v>0</v>
      </c>
      <c r="H6" s="81">
        <f>Főlap!H37</f>
        <v>0</v>
      </c>
      <c r="I6" s="82">
        <f>Főlap!I37</f>
        <v>0</v>
      </c>
      <c r="J6" s="93"/>
    </row>
    <row r="7" spans="1:10" x14ac:dyDescent="0.25">
      <c r="C7" s="471" t="s">
        <v>3</v>
      </c>
      <c r="D7" s="471"/>
      <c r="E7" s="27" t="str">
        <f>Főlap!E38</f>
        <v>Kérjük, válasszon!</v>
      </c>
      <c r="F7" s="27" t="str">
        <f>Főlap!F38</f>
        <v>Kérjük, válasszon!</v>
      </c>
      <c r="G7" s="27" t="str">
        <f>Főlap!G38</f>
        <v>Kérjük, válasszon!</v>
      </c>
      <c r="H7" s="27" t="str">
        <f>Főlap!H38</f>
        <v>Kérjük, válasszon!</v>
      </c>
      <c r="I7" s="77" t="str">
        <f>Főlap!I38</f>
        <v>Kérjük, válasszon!</v>
      </c>
      <c r="J7" s="93"/>
    </row>
    <row r="8" spans="1:10" x14ac:dyDescent="0.25">
      <c r="C8" s="470" t="s">
        <v>125</v>
      </c>
      <c r="D8" s="470"/>
      <c r="E8" s="42" t="str">
        <f>Főlap!E39</f>
        <v>Nincs kedvezmény</v>
      </c>
      <c r="F8" s="42" t="str">
        <f>Főlap!F39</f>
        <v>Nincs kedvezmény</v>
      </c>
      <c r="G8" s="42" t="str">
        <f>Főlap!G39</f>
        <v>Nincs kedvezmény</v>
      </c>
      <c r="H8" s="42" t="str">
        <f>Főlap!H39</f>
        <v>Nincs kedvezmény</v>
      </c>
      <c r="I8" s="78" t="str">
        <f>Főlap!I39</f>
        <v>Nincs kedvezmény</v>
      </c>
      <c r="J8" s="93"/>
    </row>
    <row r="9" spans="1:10" x14ac:dyDescent="0.25">
      <c r="C9" s="473" t="s">
        <v>198</v>
      </c>
      <c r="D9" s="473"/>
      <c r="E9" s="30">
        <f>IF(E7="igen",0,E5*E6)</f>
        <v>0</v>
      </c>
      <c r="F9" s="30">
        <f>IF(F7="igen",0,F5*F6)</f>
        <v>0</v>
      </c>
      <c r="G9" s="30">
        <f>IF(G7="igen",0,G5*G6)</f>
        <v>0</v>
      </c>
      <c r="H9" s="30">
        <f>IF(H7="igen",0,H5*H6)</f>
        <v>0</v>
      </c>
      <c r="I9" s="30">
        <f>IF(I7="igen",0,I5*I6)</f>
        <v>0</v>
      </c>
      <c r="J9" s="79">
        <f>SUM(E9:I9)</f>
        <v>0</v>
      </c>
    </row>
    <row r="10" spans="1:10" s="35" customFormat="1" x14ac:dyDescent="0.25">
      <c r="A10" s="46"/>
      <c r="B10" s="65"/>
      <c r="C10" s="476" t="s">
        <v>199</v>
      </c>
      <c r="D10" s="477"/>
      <c r="E10" s="30">
        <f>Szocho*E9</f>
        <v>0</v>
      </c>
      <c r="F10" s="30">
        <f>Szocho*F9</f>
        <v>0</v>
      </c>
      <c r="G10" s="30">
        <f>Szocho*G9</f>
        <v>0</v>
      </c>
      <c r="H10" s="30">
        <f>Szocho*H9</f>
        <v>0</v>
      </c>
      <c r="I10" s="39">
        <f>Szocho*I9</f>
        <v>0</v>
      </c>
      <c r="J10" s="95"/>
    </row>
    <row r="11" spans="1:10" x14ac:dyDescent="0.25">
      <c r="C11" s="473" t="s">
        <v>197</v>
      </c>
      <c r="D11" s="473"/>
      <c r="E11" s="83">
        <f>VLOOKUP(E8,Szochokedvezmények[],2,FALSE)</f>
        <v>0</v>
      </c>
      <c r="F11" s="83">
        <f>VLOOKUP(F8,Szochokedvezmények[],2,FALSE)</f>
        <v>0</v>
      </c>
      <c r="G11" s="83">
        <f>VLOOKUP(G8,Szochokedvezmények[],2,FALSE)</f>
        <v>0</v>
      </c>
      <c r="H11" s="83">
        <f>VLOOKUP(H8,Szochokedvezmények[],2,FALSE)</f>
        <v>0</v>
      </c>
      <c r="I11" s="84">
        <f>VLOOKUP(I8,Szochokedvezmények[],2,FALSE)</f>
        <v>0</v>
      </c>
      <c r="J11" s="95"/>
    </row>
    <row r="12" spans="1:10" x14ac:dyDescent="0.25">
      <c r="C12" s="473" t="s">
        <v>205</v>
      </c>
      <c r="D12" s="473"/>
      <c r="E12" s="30">
        <f>VLOOKUP(E8,Szochokedvezmények[],3,FALSE)</f>
        <v>0</v>
      </c>
      <c r="F12" s="30">
        <f>VLOOKUP(F8,Szochokedvezmények[],3,FALSE)</f>
        <v>0</v>
      </c>
      <c r="G12" s="30">
        <f>VLOOKUP(G8,Szochokedvezmények[],3,FALSE)</f>
        <v>0</v>
      </c>
      <c r="H12" s="30">
        <f>VLOOKUP(H8,Szochokedvezmények[],3,FALSE)</f>
        <v>0</v>
      </c>
      <c r="I12" s="39">
        <f>VLOOKUP(I8,Szochokedvezmények[],3,FALSE)</f>
        <v>0</v>
      </c>
      <c r="J12" s="95"/>
    </row>
    <row r="13" spans="1:10" x14ac:dyDescent="0.25">
      <c r="C13" s="473" t="s">
        <v>200</v>
      </c>
      <c r="D13" s="473"/>
      <c r="E13" s="85">
        <f>E5*MIN(E6,E12)</f>
        <v>0</v>
      </c>
      <c r="F13" s="85">
        <f>F5*MIN(F6,F12)</f>
        <v>0</v>
      </c>
      <c r="G13" s="85">
        <f>G5*MIN(G6,G12)</f>
        <v>0</v>
      </c>
      <c r="H13" s="85">
        <f>H5*MIN(H6,H12)</f>
        <v>0</v>
      </c>
      <c r="I13" s="86">
        <f>I5*MIN(I6,I12)</f>
        <v>0</v>
      </c>
      <c r="J13" s="95"/>
    </row>
    <row r="14" spans="1:10" x14ac:dyDescent="0.25">
      <c r="C14" s="482" t="s">
        <v>201</v>
      </c>
      <c r="D14" s="483"/>
      <c r="E14" s="37">
        <f>Szocho*E13*E11</f>
        <v>0</v>
      </c>
      <c r="F14" s="37">
        <f>Szocho*F13*F11</f>
        <v>0</v>
      </c>
      <c r="G14" s="37">
        <f>Szocho*G13*G11</f>
        <v>0</v>
      </c>
      <c r="H14" s="37">
        <f>Szocho*H13*H11</f>
        <v>0</v>
      </c>
      <c r="I14" s="40">
        <f>Szocho*I13*I11</f>
        <v>0</v>
      </c>
      <c r="J14" s="79">
        <f t="shared" ref="J14" si="0">SUM(E14:I14)</f>
        <v>0</v>
      </c>
    </row>
    <row r="15" spans="1:10" x14ac:dyDescent="0.25">
      <c r="C15" s="484" t="s">
        <v>202</v>
      </c>
      <c r="D15" s="485"/>
      <c r="E15" s="38">
        <f>E10-E14</f>
        <v>0</v>
      </c>
      <c r="F15" s="38">
        <f t="shared" ref="F15:I15" si="1">F10-F14</f>
        <v>0</v>
      </c>
      <c r="G15" s="38">
        <f t="shared" si="1"/>
        <v>0</v>
      </c>
      <c r="H15" s="38">
        <f t="shared" si="1"/>
        <v>0</v>
      </c>
      <c r="I15" s="41">
        <f t="shared" si="1"/>
        <v>0</v>
      </c>
      <c r="J15" s="96"/>
    </row>
    <row r="16" spans="1:10" s="46" customFormat="1" ht="33" customHeight="1" x14ac:dyDescent="0.25">
      <c r="B16" s="65"/>
      <c r="C16" s="480" t="s">
        <v>209</v>
      </c>
      <c r="D16" s="481"/>
      <c r="E16" s="80">
        <f>IF(E11=1,E13,0)*Szakképzési_hozzájárulás</f>
        <v>0</v>
      </c>
      <c r="F16" s="38">
        <f>IF(F11=1,F13,0)*Szakképzési_hozzájárulás</f>
        <v>0</v>
      </c>
      <c r="G16" s="38">
        <f>IF(G11=1,G13,0)*Szakképzési_hozzájárulás</f>
        <v>0</v>
      </c>
      <c r="H16" s="38">
        <f>IF(H11=1,H13,0)*Szakképzési_hozzájárulás</f>
        <v>0</v>
      </c>
      <c r="I16" s="38">
        <f>IF(I11=1,I13,0)*Szakképzési_hozzájárulás</f>
        <v>0</v>
      </c>
      <c r="J16" s="80">
        <f>SUM(E16:I16)</f>
        <v>0</v>
      </c>
    </row>
    <row r="17" spans="1:10" s="65" customFormat="1" x14ac:dyDescent="0.25">
      <c r="C17" s="66"/>
      <c r="D17" s="66"/>
      <c r="E17" s="148"/>
      <c r="F17" s="148"/>
      <c r="G17" s="148"/>
      <c r="H17" s="148"/>
      <c r="I17" s="148"/>
      <c r="J17" s="148"/>
    </row>
    <row r="18" spans="1:10" s="45" customFormat="1" ht="19.5" thickBot="1" x14ac:dyDescent="0.35">
      <c r="B18" s="65"/>
      <c r="C18" s="465"/>
      <c r="D18" s="465"/>
      <c r="E18" s="206" t="s">
        <v>12</v>
      </c>
      <c r="F18" s="206" t="s">
        <v>13</v>
      </c>
      <c r="G18" s="206" t="s">
        <v>14</v>
      </c>
      <c r="H18" s="206" t="s">
        <v>15</v>
      </c>
      <c r="I18" s="206" t="s">
        <v>16</v>
      </c>
      <c r="J18" s="206" t="s">
        <v>206</v>
      </c>
    </row>
    <row r="19" spans="1:10" ht="21.75" thickBot="1" x14ac:dyDescent="0.3">
      <c r="C19" s="444" t="s">
        <v>266</v>
      </c>
      <c r="D19" s="445"/>
      <c r="E19" s="445"/>
      <c r="F19" s="445"/>
      <c r="G19" s="445"/>
      <c r="H19" s="445"/>
      <c r="I19" s="445"/>
      <c r="J19" s="446"/>
    </row>
    <row r="20" spans="1:10" ht="30" customHeight="1" x14ac:dyDescent="0.25">
      <c r="C20" s="478" t="s">
        <v>343</v>
      </c>
      <c r="D20" s="479"/>
      <c r="E20" s="220">
        <f>IF(OR(Főlap!E21=0,Főlap!$E$8='listák, paraméterek'!$A$3),12,Főlap!E21)</f>
        <v>12</v>
      </c>
      <c r="F20" s="221">
        <v>12</v>
      </c>
      <c r="G20" s="220">
        <v>12</v>
      </c>
      <c r="H20" s="220">
        <v>12</v>
      </c>
      <c r="I20" s="222">
        <v>12</v>
      </c>
      <c r="J20" s="94"/>
    </row>
    <row r="21" spans="1:10" s="46" customFormat="1" ht="59.25" customHeight="1" x14ac:dyDescent="0.25">
      <c r="B21" s="65"/>
      <c r="C21" s="474" t="s">
        <v>344</v>
      </c>
      <c r="D21" s="475"/>
      <c r="E21" s="223" t="str">
        <f>IF(Főlap!$E$8='listák, paraméterek'!$A$2,'listák, paraméterek'!$A$6,IF(OR(Főlap!$E$8='listák, paraméterek'!$A$1,Főlap!E22='listák, paraméterek'!$A$1),'listák, paraméterek'!$A$7,Főlap!E22))</f>
        <v>Nem</v>
      </c>
      <c r="F21" s="223" t="str">
        <f>IF(Főlap!$E$8='listák, paraméterek'!$A$2,'listák, paraméterek'!$A$6,IF(OR(Főlap!$E$8='listák, paraméterek'!$A$1,Főlap!F22='listák, paraméterek'!$A$1),'listák, paraméterek'!$A$7,Főlap!F22))</f>
        <v>Nem</v>
      </c>
      <c r="G21" s="223" t="str">
        <f>IF(Főlap!$E$8='listák, paraméterek'!$A$2,'listák, paraméterek'!$A$6,IF(OR(Főlap!$E$8='listák, paraméterek'!$A$1,Főlap!G22='listák, paraméterek'!$A$1),'listák, paraméterek'!$A$7,Főlap!G22))</f>
        <v>Nem</v>
      </c>
      <c r="H21" s="223" t="str">
        <f>IF(Főlap!$E$8='listák, paraméterek'!$A$2,'listák, paraméterek'!$A$6,IF(OR(Főlap!$E$8='listák, paraméterek'!$A$1,Főlap!H22='listák, paraméterek'!$A$1),'listák, paraméterek'!$A$7,Főlap!H22))</f>
        <v>Nem</v>
      </c>
      <c r="I21" s="223" t="str">
        <f>IF(Főlap!$E$8='listák, paraméterek'!$A$2,'listák, paraméterek'!$A$6,IF(OR(Főlap!$E$8='listák, paraméterek'!$A$1,Főlap!I22='listák, paraméterek'!$A$1),'listák, paraméterek'!$A$7,Főlap!I22))</f>
        <v>Nem</v>
      </c>
      <c r="J21" s="93"/>
    </row>
    <row r="22" spans="1:10" ht="31.5" customHeight="1" x14ac:dyDescent="0.25">
      <c r="C22" s="447" t="s">
        <v>211</v>
      </c>
      <c r="D22" s="448"/>
      <c r="E22" s="224">
        <f>Főlap!E23</f>
        <v>0</v>
      </c>
      <c r="F22" s="224">
        <f>Főlap!F23</f>
        <v>0</v>
      </c>
      <c r="G22" s="224">
        <f>Főlap!G23</f>
        <v>0</v>
      </c>
      <c r="H22" s="224">
        <f>Főlap!H23</f>
        <v>0</v>
      </c>
      <c r="I22" s="225">
        <f>Főlap!I23</f>
        <v>0</v>
      </c>
      <c r="J22" s="93"/>
    </row>
    <row r="23" spans="1:10" ht="45.75" customHeight="1" x14ac:dyDescent="0.25">
      <c r="C23" s="442" t="s">
        <v>207</v>
      </c>
      <c r="D23" s="443"/>
      <c r="E23" s="226">
        <f>Főlap!E24</f>
        <v>0</v>
      </c>
      <c r="F23" s="224">
        <f>Főlap!F24</f>
        <v>0</v>
      </c>
      <c r="G23" s="224">
        <f>Főlap!G24</f>
        <v>0</v>
      </c>
      <c r="H23" s="224">
        <f>Főlap!H24</f>
        <v>0</v>
      </c>
      <c r="I23" s="225">
        <f>Főlap!I24</f>
        <v>0</v>
      </c>
      <c r="J23" s="93"/>
    </row>
    <row r="24" spans="1:10" x14ac:dyDescent="0.25">
      <c r="C24" s="227" t="s">
        <v>288</v>
      </c>
      <c r="D24" s="451" t="s">
        <v>289</v>
      </c>
      <c r="E24" s="223" t="str">
        <f>IF(Főlap!E25='listák, paraméterek'!$A$6,Főlap!E25,'listák, paraméterek'!$A$7)</f>
        <v>Nem</v>
      </c>
      <c r="F24" s="223" t="str">
        <f>IF(Főlap!F25='listák, paraméterek'!$A$6,Főlap!F25,'listák, paraméterek'!$A$7)</f>
        <v>Nem</v>
      </c>
      <c r="G24" s="223" t="str">
        <f>IF(Főlap!G25='listák, paraméterek'!$A$6,Főlap!G25,'listák, paraméterek'!$A$7)</f>
        <v>Nem</v>
      </c>
      <c r="H24" s="223" t="str">
        <f>IF(Főlap!H25='listák, paraméterek'!$A$6,Főlap!H25,'listák, paraméterek'!$A$7)</f>
        <v>Nem</v>
      </c>
      <c r="I24" s="223" t="str">
        <f>IF(Főlap!I25='listák, paraméterek'!$A$6,Főlap!I25,'listák, paraméterek'!$A$7)</f>
        <v>Nem</v>
      </c>
      <c r="J24" s="93"/>
    </row>
    <row r="25" spans="1:10" x14ac:dyDescent="0.25">
      <c r="C25" s="228" t="s">
        <v>3</v>
      </c>
      <c r="D25" s="452"/>
      <c r="E25" s="223" t="str">
        <f>IF(Főlap!E26='listák, paraméterek'!$A$6,Főlap!E26,'listák, paraméterek'!$A$7)</f>
        <v>Nem</v>
      </c>
      <c r="F25" s="223" t="str">
        <f>IF(Főlap!F26='listák, paraméterek'!$A$6,Főlap!F26,'listák, paraméterek'!$A$7)</f>
        <v>Nem</v>
      </c>
      <c r="G25" s="223" t="str">
        <f>IF(Főlap!G26='listák, paraméterek'!$A$6,Főlap!G26,'listák, paraméterek'!$A$7)</f>
        <v>Nem</v>
      </c>
      <c r="H25" s="223" t="str">
        <f>IF(Főlap!H26='listák, paraméterek'!$A$6,Főlap!H26,'listák, paraméterek'!$A$7)</f>
        <v>Nem</v>
      </c>
      <c r="I25" s="223" t="str">
        <f>IF(Főlap!I26='listák, paraméterek'!$A$6,Főlap!I26,'listák, paraméterek'!$A$7)</f>
        <v>Nem</v>
      </c>
      <c r="J25" s="93"/>
    </row>
    <row r="26" spans="1:10" x14ac:dyDescent="0.25">
      <c r="C26" s="228" t="s">
        <v>2</v>
      </c>
      <c r="D26" s="452"/>
      <c r="E26" s="223" t="str">
        <f>IF(Főlap!E27='listák, paraméterek'!$A$6,Főlap!E27,'listák, paraméterek'!$A$7)</f>
        <v>Nem</v>
      </c>
      <c r="F26" s="223" t="str">
        <f>IF(Főlap!F27='listák, paraméterek'!$A$6,Főlap!F27,'listák, paraméterek'!$A$7)</f>
        <v>Nem</v>
      </c>
      <c r="G26" s="223" t="str">
        <f>IF(Főlap!G27='listák, paraméterek'!$A$6,Főlap!G27,'listák, paraméterek'!$A$7)</f>
        <v>Nem</v>
      </c>
      <c r="H26" s="223" t="str">
        <f>IF(Főlap!H27='listák, paraméterek'!$A$6,Főlap!H27,'listák, paraméterek'!$A$7)</f>
        <v>Nem</v>
      </c>
      <c r="I26" s="223" t="str">
        <f>IF(Főlap!I27='listák, paraméterek'!$A$6,Főlap!I27,'listák, paraméterek'!$A$7)</f>
        <v>Nem</v>
      </c>
      <c r="J26" s="93"/>
    </row>
    <row r="27" spans="1:10" x14ac:dyDescent="0.25">
      <c r="C27" s="229" t="s">
        <v>4</v>
      </c>
      <c r="D27" s="452"/>
      <c r="E27" s="223" t="str">
        <f>IF(Főlap!E28='listák, paraméterek'!$A$6,Főlap!E28,'listák, paraméterek'!$A$7)</f>
        <v>Nem</v>
      </c>
      <c r="F27" s="223" t="str">
        <f>IF(Főlap!F28='listák, paraméterek'!$A$6,Főlap!F28,'listák, paraméterek'!$A$7)</f>
        <v>Nem</v>
      </c>
      <c r="G27" s="223" t="str">
        <f>IF(Főlap!G28='listák, paraméterek'!$A$6,Főlap!G28,'listák, paraméterek'!$A$7)</f>
        <v>Nem</v>
      </c>
      <c r="H27" s="223" t="str">
        <f>IF(Főlap!H28='listák, paraméterek'!$A$6,Főlap!H28,'listák, paraméterek'!$A$7)</f>
        <v>Nem</v>
      </c>
      <c r="I27" s="223" t="str">
        <f>IF(Főlap!I28='listák, paraméterek'!$A$6,Főlap!I28,'listák, paraméterek'!$A$7)</f>
        <v>Nem</v>
      </c>
      <c r="J27" s="93"/>
    </row>
    <row r="28" spans="1:10" ht="15" customHeight="1" x14ac:dyDescent="0.25">
      <c r="C28" s="217" t="s">
        <v>170</v>
      </c>
      <c r="D28" s="453"/>
      <c r="E28" s="223" t="str">
        <f>IF(Főlap!E29='listák, paraméterek'!$A$6,Főlap!E29,'listák, paraméterek'!$A$7)</f>
        <v>Nem</v>
      </c>
      <c r="F28" s="223" t="str">
        <f>IF(Főlap!F29='listák, paraméterek'!$A$6,Főlap!F29,'listák, paraméterek'!$A$7)</f>
        <v>Nem</v>
      </c>
      <c r="G28" s="223" t="str">
        <f>IF(Főlap!G29='listák, paraméterek'!$A$6,Főlap!G29,'listák, paraméterek'!$A$7)</f>
        <v>Nem</v>
      </c>
      <c r="H28" s="223" t="str">
        <f>IF(Főlap!H29='listák, paraméterek'!$A$6,Főlap!H29,'listák, paraméterek'!$A$7)</f>
        <v>Nem</v>
      </c>
      <c r="I28" s="223" t="str">
        <f>IF(Főlap!I29='listák, paraméterek'!$A$6,Főlap!I29,'listák, paraméterek'!$A$7)</f>
        <v>Nem</v>
      </c>
      <c r="J28" s="93"/>
    </row>
    <row r="29" spans="1:10" s="46" customFormat="1" ht="15" customHeight="1" x14ac:dyDescent="0.25">
      <c r="B29" s="65"/>
      <c r="C29" s="454" t="s">
        <v>171</v>
      </c>
      <c r="D29" s="455"/>
      <c r="E29" s="103">
        <f>Főlap!E30</f>
        <v>0</v>
      </c>
      <c r="F29" s="103">
        <f>Főlap!F30</f>
        <v>0</v>
      </c>
      <c r="G29" s="103">
        <f>Főlap!G30</f>
        <v>0</v>
      </c>
      <c r="H29" s="103">
        <f>Főlap!H30</f>
        <v>0</v>
      </c>
      <c r="I29" s="103">
        <f>Főlap!I30</f>
        <v>0</v>
      </c>
      <c r="J29" s="93"/>
    </row>
    <row r="30" spans="1:10" x14ac:dyDescent="0.25">
      <c r="C30" s="457" t="s">
        <v>230</v>
      </c>
      <c r="D30" s="457"/>
      <c r="E30" s="87">
        <f>IF(E20&gt;0,1,0)</f>
        <v>1</v>
      </c>
      <c r="F30" s="87">
        <f>IF(OR(F22&gt;0,F29&gt;0),1,0)</f>
        <v>0</v>
      </c>
      <c r="G30" s="87">
        <f>IF(OR(G22&gt;0,G29&gt;0),1,0)</f>
        <v>0</v>
      </c>
      <c r="H30" s="87">
        <f>IF(OR(H22&gt;0,H29&gt;0),1,0)</f>
        <v>0</v>
      </c>
      <c r="I30" s="88">
        <f>IF(OR(I22&gt;0,I29&gt;0),1,0)</f>
        <v>0</v>
      </c>
      <c r="J30" s="93"/>
    </row>
    <row r="31" spans="1:10" s="35" customFormat="1" x14ac:dyDescent="0.25">
      <c r="A31" s="46"/>
      <c r="B31" s="65"/>
      <c r="C31" s="457" t="s">
        <v>212</v>
      </c>
      <c r="D31" s="457"/>
      <c r="E31" s="87">
        <f>IF(Főlap!$E$8='listák, paraméterek'!$A$2,1,0)</f>
        <v>0</v>
      </c>
      <c r="F31" s="106">
        <f>IF(Főlap!$E$8='listák, paraméterek'!$A$2,1,0)</f>
        <v>0</v>
      </c>
      <c r="G31" s="106">
        <f>IF(Főlap!$E$8='listák, paraméterek'!$A$2,1,0)</f>
        <v>0</v>
      </c>
      <c r="H31" s="106">
        <f>IF(Főlap!$E$8='listák, paraméterek'!$A$2,1,0)</f>
        <v>0</v>
      </c>
      <c r="I31" s="107">
        <f>IF(Főlap!$E$8='listák, paraméterek'!$A$2,1,0)</f>
        <v>0</v>
      </c>
      <c r="J31" s="93"/>
    </row>
    <row r="32" spans="1:10" ht="32.25" customHeight="1" x14ac:dyDescent="0.25">
      <c r="C32" s="456" t="s">
        <v>238</v>
      </c>
      <c r="D32" s="456"/>
      <c r="E32" s="248">
        <f>E22*E20</f>
        <v>0</v>
      </c>
      <c r="F32" s="187">
        <f>F22*F20</f>
        <v>0</v>
      </c>
      <c r="G32" s="187">
        <f>G22*G20</f>
        <v>0</v>
      </c>
      <c r="H32" s="187">
        <f>H22*H20</f>
        <v>0</v>
      </c>
      <c r="I32" s="187">
        <f>I22*I20</f>
        <v>0</v>
      </c>
      <c r="J32" s="79">
        <f>SUM(E32:I32)</f>
        <v>0</v>
      </c>
    </row>
    <row r="33" spans="2:10" x14ac:dyDescent="0.25">
      <c r="C33" s="463" t="s">
        <v>210</v>
      </c>
      <c r="D33" s="463"/>
      <c r="E33" s="187">
        <f>IF(E26="Igen",Garantált_bérminimum,Minimálbér)</f>
        <v>161000</v>
      </c>
      <c r="F33" s="187">
        <f>IF(F26="Igen",Garantált_bérminimum,Minimálbér)</f>
        <v>161000</v>
      </c>
      <c r="G33" s="187">
        <f>IF(G26="Igen",Garantált_bérminimum,Minimálbér)</f>
        <v>161000</v>
      </c>
      <c r="H33" s="187">
        <f>IF(H26="Igen",Garantált_bérminimum,Minimálbér)</f>
        <v>161000</v>
      </c>
      <c r="I33" s="187">
        <f>IF(I26="Igen",Garantált_bérminimum,Minimálbér)</f>
        <v>161000</v>
      </c>
      <c r="J33" s="93"/>
    </row>
    <row r="34" spans="2:10" s="65" customFormat="1" x14ac:dyDescent="0.25">
      <c r="C34" s="186"/>
      <c r="D34" s="186"/>
      <c r="E34" s="185"/>
      <c r="F34" s="185"/>
      <c r="G34" s="185"/>
      <c r="H34" s="185"/>
      <c r="I34" s="185"/>
    </row>
    <row r="35" spans="2:10" s="65" customFormat="1" ht="19.5" thickBot="1" x14ac:dyDescent="0.35">
      <c r="C35" s="465"/>
      <c r="D35" s="465"/>
      <c r="E35" s="206" t="s">
        <v>12</v>
      </c>
      <c r="F35" s="206" t="s">
        <v>13</v>
      </c>
      <c r="G35" s="206" t="s">
        <v>14</v>
      </c>
      <c r="H35" s="206" t="s">
        <v>15</v>
      </c>
      <c r="I35" s="206" t="s">
        <v>16</v>
      </c>
      <c r="J35" s="206" t="s">
        <v>206</v>
      </c>
    </row>
    <row r="36" spans="2:10" s="46" customFormat="1" ht="21.75" thickBot="1" x14ac:dyDescent="0.3">
      <c r="B36" s="132"/>
      <c r="C36" s="458" t="s">
        <v>280</v>
      </c>
      <c r="D36" s="459"/>
      <c r="E36" s="459"/>
      <c r="F36" s="459"/>
      <c r="G36" s="459"/>
      <c r="H36" s="459"/>
      <c r="I36" s="459"/>
      <c r="J36" s="460"/>
    </row>
    <row r="37" spans="2:10" ht="15" customHeight="1" x14ac:dyDescent="0.25">
      <c r="B37" s="464"/>
      <c r="C37" s="466" t="s">
        <v>274</v>
      </c>
      <c r="D37" s="136" t="s">
        <v>133</v>
      </c>
      <c r="E37" s="108">
        <f>MAX(E33*1.125,E22)</f>
        <v>181125</v>
      </c>
      <c r="F37" s="108">
        <f>MAX(F33*1.125,F22)</f>
        <v>181125</v>
      </c>
      <c r="G37" s="108">
        <f>MAX(G33*1.125,G22)</f>
        <v>181125</v>
      </c>
      <c r="H37" s="108">
        <f>MAX(H33*1.125,H22)</f>
        <v>181125</v>
      </c>
      <c r="I37" s="108">
        <f>MAX(I33*1.125,I22)</f>
        <v>181125</v>
      </c>
      <c r="J37" s="97"/>
    </row>
    <row r="38" spans="2:10" x14ac:dyDescent="0.25">
      <c r="B38" s="464"/>
      <c r="C38" s="467"/>
      <c r="D38" s="138" t="s">
        <v>134</v>
      </c>
      <c r="E38" s="102">
        <f>E37</f>
        <v>181125</v>
      </c>
      <c r="F38" s="102">
        <f t="shared" ref="F38:I38" si="2">F37</f>
        <v>181125</v>
      </c>
      <c r="G38" s="102">
        <f t="shared" si="2"/>
        <v>181125</v>
      </c>
      <c r="H38" s="102">
        <f t="shared" si="2"/>
        <v>181125</v>
      </c>
      <c r="I38" s="102">
        <f t="shared" si="2"/>
        <v>181125</v>
      </c>
      <c r="J38" s="98"/>
    </row>
    <row r="39" spans="2:10" x14ac:dyDescent="0.25">
      <c r="B39" s="464"/>
      <c r="C39" s="467"/>
      <c r="D39" s="138" t="s">
        <v>252</v>
      </c>
      <c r="E39" s="102">
        <f>MAX(E33,E22)</f>
        <v>161000</v>
      </c>
      <c r="F39" s="102">
        <f>MAX(F33,F22)</f>
        <v>161000</v>
      </c>
      <c r="G39" s="102">
        <f>MAX(G33,G22)</f>
        <v>161000</v>
      </c>
      <c r="H39" s="102">
        <f>MAX(H33,H22)</f>
        <v>161000</v>
      </c>
      <c r="I39" s="102">
        <f>MAX(I33,I22)</f>
        <v>161000</v>
      </c>
      <c r="J39" s="98"/>
    </row>
    <row r="40" spans="2:10" ht="30" x14ac:dyDescent="0.25">
      <c r="B40" s="464"/>
      <c r="C40" s="467"/>
      <c r="D40" s="138" t="s">
        <v>239</v>
      </c>
      <c r="E40" s="102">
        <f>MAX(E33*1.5,E22)</f>
        <v>241500</v>
      </c>
      <c r="F40" s="102">
        <f>MAX(F33*1.5,F22)</f>
        <v>241500</v>
      </c>
      <c r="G40" s="102">
        <f>MAX(G33*1.5,G22)</f>
        <v>241500</v>
      </c>
      <c r="H40" s="102">
        <f>MAX(H33*1.5,H22)</f>
        <v>241500</v>
      </c>
      <c r="I40" s="102">
        <f>MAX(I33*1.5,I22)</f>
        <v>241500</v>
      </c>
      <c r="J40" s="98"/>
    </row>
    <row r="41" spans="2:10" ht="30" x14ac:dyDescent="0.25">
      <c r="B41" s="464"/>
      <c r="C41" s="467"/>
      <c r="D41" s="138" t="s">
        <v>240</v>
      </c>
      <c r="E41" s="102">
        <f>MAX(E33*1.5,E22)</f>
        <v>241500</v>
      </c>
      <c r="F41" s="102">
        <f>MAX(F33*1.5,F22)</f>
        <v>241500</v>
      </c>
      <c r="G41" s="102">
        <f>MAX(G33*1.5,G22)</f>
        <v>241500</v>
      </c>
      <c r="H41" s="102">
        <f>MAX(H33*1.5,H22)</f>
        <v>241500</v>
      </c>
      <c r="I41" s="102">
        <f>MAX(I33*1.5,I22)</f>
        <v>241500</v>
      </c>
      <c r="J41" s="98"/>
    </row>
    <row r="42" spans="2:10" ht="30.75" thickBot="1" x14ac:dyDescent="0.3">
      <c r="B42" s="464"/>
      <c r="C42" s="468"/>
      <c r="D42" s="140" t="s">
        <v>241</v>
      </c>
      <c r="E42" s="109">
        <f>MAX(E33*1.5,E22)</f>
        <v>241500</v>
      </c>
      <c r="F42" s="109">
        <f>MAX(F33*1.5,F22)</f>
        <v>241500</v>
      </c>
      <c r="G42" s="109">
        <f>MAX(G33*1.5,G22)</f>
        <v>241500</v>
      </c>
      <c r="H42" s="109">
        <f>MAX(H33*1.5,H22)</f>
        <v>241500</v>
      </c>
      <c r="I42" s="109">
        <f>MAX(I33*1.5,I22)</f>
        <v>241500</v>
      </c>
      <c r="J42" s="110"/>
    </row>
    <row r="43" spans="2:10" ht="15" customHeight="1" x14ac:dyDescent="0.25">
      <c r="B43" s="464"/>
      <c r="C43" s="466" t="s">
        <v>242</v>
      </c>
      <c r="D43" s="136" t="s">
        <v>133</v>
      </c>
      <c r="E43" s="111">
        <f>IF('háttér kalkulátor'!E$21="Nem",0,IF(E$24="Igen",0,IF(E$25="Igen",0,1)))</f>
        <v>0</v>
      </c>
      <c r="F43" s="111">
        <f t="shared" ref="F43:I48" si="3">IF(F$21="Nem",0,IF(F$24="Igen",0,IF(F$25="Igen",0,1)))</f>
        <v>0</v>
      </c>
      <c r="G43" s="111">
        <f t="shared" si="3"/>
        <v>0</v>
      </c>
      <c r="H43" s="111">
        <f t="shared" si="3"/>
        <v>0</v>
      </c>
      <c r="I43" s="111">
        <f t="shared" si="3"/>
        <v>0</v>
      </c>
      <c r="J43" s="99"/>
    </row>
    <row r="44" spans="2:10" x14ac:dyDescent="0.25">
      <c r="B44" s="464"/>
      <c r="C44" s="467"/>
      <c r="D44" s="138" t="s">
        <v>134</v>
      </c>
      <c r="E44" s="112">
        <f>IF('háttér kalkulátor'!E$21="Nem",0,IF(E$24="Igen",0,IF(E$25="Igen",0,1)))</f>
        <v>0</v>
      </c>
      <c r="F44" s="112">
        <f t="shared" si="3"/>
        <v>0</v>
      </c>
      <c r="G44" s="112">
        <f t="shared" si="3"/>
        <v>0</v>
      </c>
      <c r="H44" s="112">
        <f t="shared" si="3"/>
        <v>0</v>
      </c>
      <c r="I44" s="112">
        <f t="shared" si="3"/>
        <v>0</v>
      </c>
      <c r="J44" s="100"/>
    </row>
    <row r="45" spans="2:10" x14ac:dyDescent="0.25">
      <c r="B45" s="464"/>
      <c r="C45" s="467"/>
      <c r="D45" s="138" t="s">
        <v>252</v>
      </c>
      <c r="E45" s="112">
        <f>IF('háttér kalkulátor'!E$21="Nem",0,IF(E$24="Igen",0,IF(E$25="Igen",0,1)))</f>
        <v>0</v>
      </c>
      <c r="F45" s="112">
        <f t="shared" si="3"/>
        <v>0</v>
      </c>
      <c r="G45" s="112">
        <f t="shared" si="3"/>
        <v>0</v>
      </c>
      <c r="H45" s="112">
        <f t="shared" si="3"/>
        <v>0</v>
      </c>
      <c r="I45" s="112">
        <f t="shared" si="3"/>
        <v>0</v>
      </c>
      <c r="J45" s="100"/>
    </row>
    <row r="46" spans="2:10" ht="30" x14ac:dyDescent="0.25">
      <c r="B46" s="464"/>
      <c r="C46" s="467"/>
      <c r="D46" s="138" t="s">
        <v>239</v>
      </c>
      <c r="E46" s="112">
        <f>IF('háttér kalkulátor'!E$21="Nem",0,IF(E$24="Igen",0,IF(E$25="Igen",0,1)))</f>
        <v>0</v>
      </c>
      <c r="F46" s="112">
        <f t="shared" si="3"/>
        <v>0</v>
      </c>
      <c r="G46" s="112">
        <f t="shared" si="3"/>
        <v>0</v>
      </c>
      <c r="H46" s="112">
        <f t="shared" si="3"/>
        <v>0</v>
      </c>
      <c r="I46" s="112">
        <f t="shared" si="3"/>
        <v>0</v>
      </c>
      <c r="J46" s="100"/>
    </row>
    <row r="47" spans="2:10" ht="30" x14ac:dyDescent="0.25">
      <c r="B47" s="464"/>
      <c r="C47" s="467"/>
      <c r="D47" s="138" t="s">
        <v>240</v>
      </c>
      <c r="E47" s="112">
        <f>IF('háttér kalkulátor'!E$21="Nem",0,IF(E$24="Igen",0,IF(E$25="Igen",0,1)))</f>
        <v>0</v>
      </c>
      <c r="F47" s="112">
        <f t="shared" si="3"/>
        <v>0</v>
      </c>
      <c r="G47" s="112">
        <f t="shared" si="3"/>
        <v>0</v>
      </c>
      <c r="H47" s="112">
        <f t="shared" si="3"/>
        <v>0</v>
      </c>
      <c r="I47" s="112">
        <f t="shared" si="3"/>
        <v>0</v>
      </c>
      <c r="J47" s="100"/>
    </row>
    <row r="48" spans="2:10" ht="30.75" thickBot="1" x14ac:dyDescent="0.3">
      <c r="B48" s="464"/>
      <c r="C48" s="468"/>
      <c r="D48" s="140" t="s">
        <v>241</v>
      </c>
      <c r="E48" s="134">
        <f>IF('háttér kalkulátor'!E$21="Nem",0,IF(E$24="Igen",0,IF(E$25="Igen",0,1)))</f>
        <v>0</v>
      </c>
      <c r="F48" s="134">
        <f t="shared" si="3"/>
        <v>0</v>
      </c>
      <c r="G48" s="134">
        <f t="shared" si="3"/>
        <v>0</v>
      </c>
      <c r="H48" s="134">
        <f t="shared" si="3"/>
        <v>0</v>
      </c>
      <c r="I48" s="134">
        <f t="shared" si="3"/>
        <v>0</v>
      </c>
      <c r="J48" s="101"/>
    </row>
    <row r="49" spans="1:11" ht="15" customHeight="1" x14ac:dyDescent="0.25">
      <c r="B49" s="464"/>
      <c r="C49" s="466" t="s">
        <v>243</v>
      </c>
      <c r="D49" s="136" t="s">
        <v>254</v>
      </c>
      <c r="E49" s="111">
        <f>IF('háttér kalkulátor'!E$21="Nem",0,IF(E25="IGEN",0,1))</f>
        <v>0</v>
      </c>
      <c r="F49" s="111">
        <f>IF(F$21="Nem",0,IF(F25="IGEN",0,1))</f>
        <v>0</v>
      </c>
      <c r="G49" s="111">
        <f>IF(G$21="Nem",0,IF(G25="IGEN",0,1))</f>
        <v>0</v>
      </c>
      <c r="H49" s="111">
        <f>IF(H$21="Nem",0,IF(H25="IGEN",0,1))</f>
        <v>0</v>
      </c>
      <c r="I49" s="111">
        <f>IF(I$21="Nem",0,IF(I25="IGEN",0,1))</f>
        <v>0</v>
      </c>
      <c r="J49" s="99"/>
    </row>
    <row r="50" spans="1:11" x14ac:dyDescent="0.25">
      <c r="B50" s="464"/>
      <c r="C50" s="467"/>
      <c r="D50" s="138" t="s">
        <v>253</v>
      </c>
      <c r="E50" s="112">
        <f>IF('háttér kalkulátor'!E$21="Nem",0,IF(E25="IGEN",0,IF(E31=1,0,1)))</f>
        <v>0</v>
      </c>
      <c r="F50" s="112">
        <f>IF(F$21="Nem",0,IF(F25="IGEN",0,IF(F31=1,0,1)))</f>
        <v>0</v>
      </c>
      <c r="G50" s="112">
        <f>IF(G$21="Nem",0,IF(G25="IGEN",0,IF(G31=1,0,1)))</f>
        <v>0</v>
      </c>
      <c r="H50" s="112">
        <f>IF(H$21="Nem",0,IF(H25="IGEN",0,IF(H31=1,0,1)))</f>
        <v>0</v>
      </c>
      <c r="I50" s="112">
        <f>IF(I$21="Nem",0,IF(I25="IGEN",0,IF(I31=1,0,1)))</f>
        <v>0</v>
      </c>
      <c r="J50" s="100"/>
      <c r="K50" s="45"/>
    </row>
    <row r="51" spans="1:11" x14ac:dyDescent="0.25">
      <c r="B51" s="464"/>
      <c r="C51" s="467"/>
      <c r="D51" s="138" t="s">
        <v>119</v>
      </c>
      <c r="E51" s="112">
        <f>IF('háttér kalkulátor'!E$21="Nem",0,1)</f>
        <v>0</v>
      </c>
      <c r="F51" s="112">
        <f t="shared" ref="F51:I51" si="4">IF(F$21="Nem",0,1)</f>
        <v>0</v>
      </c>
      <c r="G51" s="112">
        <f t="shared" si="4"/>
        <v>0</v>
      </c>
      <c r="H51" s="112">
        <f t="shared" si="4"/>
        <v>0</v>
      </c>
      <c r="I51" s="112">
        <f t="shared" si="4"/>
        <v>0</v>
      </c>
      <c r="J51" s="100"/>
      <c r="K51" s="45"/>
    </row>
    <row r="52" spans="1:11" ht="30" x14ac:dyDescent="0.25">
      <c r="B52" s="464"/>
      <c r="C52" s="467"/>
      <c r="D52" s="138" t="s">
        <v>239</v>
      </c>
      <c r="E52" s="112">
        <f>IF('háttér kalkulátor'!E$21="Nem",0,(IF(E25="IGEN",0,1)))</f>
        <v>0</v>
      </c>
      <c r="F52" s="112">
        <f>IF(F$21="Nem",0,(IF(F25="IGEN",0,1)))</f>
        <v>0</v>
      </c>
      <c r="G52" s="112">
        <f>IF(G$21="Nem",0,(IF(G25="IGEN",0,1)))</f>
        <v>0</v>
      </c>
      <c r="H52" s="112">
        <f>IF(H$21="Nem",0,(IF(H25="IGEN",0,1)))</f>
        <v>0</v>
      </c>
      <c r="I52" s="112">
        <f>IF(I$21="Nem",0,(IF(I25="IGEN",0,1)))</f>
        <v>0</v>
      </c>
      <c r="J52" s="100"/>
      <c r="K52" s="45"/>
    </row>
    <row r="53" spans="1:11" ht="30" x14ac:dyDescent="0.25">
      <c r="B53" s="464"/>
      <c r="C53" s="467"/>
      <c r="D53" s="138" t="s">
        <v>240</v>
      </c>
      <c r="E53" s="87">
        <f>IF('háttér kalkulátor'!E$21="Nem",0,IF(E25="IGEN",0,1))</f>
        <v>0</v>
      </c>
      <c r="F53" s="87">
        <f>IF(F$21="Nem",0,IF(F25="IGEN",0,1))</f>
        <v>0</v>
      </c>
      <c r="G53" s="87">
        <f>IF(G$21="Nem",0,IF(G25="IGEN",0,1))</f>
        <v>0</v>
      </c>
      <c r="H53" s="87">
        <f>IF(H$21="Nem",0,IF(H25="IGEN",0,1))</f>
        <v>0</v>
      </c>
      <c r="I53" s="87">
        <f>IF(I$21="Nem",0,IF(I25="IGEN",0,1))</f>
        <v>0</v>
      </c>
      <c r="J53" s="100"/>
      <c r="K53" s="45"/>
    </row>
    <row r="54" spans="1:11" ht="30.75" thickBot="1" x14ac:dyDescent="0.3">
      <c r="B54" s="464"/>
      <c r="C54" s="468"/>
      <c r="D54" s="140" t="s">
        <v>241</v>
      </c>
      <c r="E54" s="135">
        <f>IF('háttér kalkulátor'!E$21="Nem",0,IF(E25="IGEN",0,IF(E24="Igen",0,1)))</f>
        <v>0</v>
      </c>
      <c r="F54" s="135">
        <f>IF(F$21="Nem",0,IF(F25="IGEN",0,IF(F24="Igen",0,1)))</f>
        <v>0</v>
      </c>
      <c r="G54" s="135">
        <f>IF(G$21="Nem",0,IF(G25="IGEN",0,IF(G24="Igen",0,1)))</f>
        <v>0</v>
      </c>
      <c r="H54" s="135">
        <f>IF(H$21="Nem",0,IF(H25="IGEN",0,IF(H24="Igen",0,1)))</f>
        <v>0</v>
      </c>
      <c r="I54" s="135">
        <f>IF(I$21="Nem",0,IF(I25="IGEN",0,IF(I24="Igen",0,1)))</f>
        <v>0</v>
      </c>
      <c r="J54" s="101"/>
      <c r="K54" s="74"/>
    </row>
    <row r="55" spans="1:11" x14ac:dyDescent="0.25">
      <c r="B55" s="462"/>
      <c r="C55" s="466" t="s">
        <v>244</v>
      </c>
      <c r="D55" s="136" t="s">
        <v>133</v>
      </c>
      <c r="E55" s="247">
        <f>IF(E43=1,E37,E$22)*E30*E49</f>
        <v>0</v>
      </c>
      <c r="F55" s="137">
        <f>IF(F43=1,F37,F$22)*F30*F49</f>
        <v>0</v>
      </c>
      <c r="G55" s="137">
        <f>IF(G43=1,G37,G$22)*G30*G49</f>
        <v>0</v>
      </c>
      <c r="H55" s="137">
        <f>IF(H43=1,H37,H$22)*H30*H49</f>
        <v>0</v>
      </c>
      <c r="I55" s="149">
        <f>IF(I43=1,I37,I$22)*I30*I49</f>
        <v>0</v>
      </c>
      <c r="J55" s="150">
        <f>E55*E20+F55*F20+G55*G20+H55*H20+I55*I20</f>
        <v>0</v>
      </c>
      <c r="K55" s="73"/>
    </row>
    <row r="56" spans="1:11" x14ac:dyDescent="0.25">
      <c r="B56" s="462"/>
      <c r="C56" s="467"/>
      <c r="D56" s="138" t="s">
        <v>134</v>
      </c>
      <c r="E56" s="139">
        <f>IF(E44=1,E38,E$22)*E30*E50</f>
        <v>0</v>
      </c>
      <c r="F56" s="139">
        <f>IF(F44=1,F38,F$22)*F30*F50</f>
        <v>0</v>
      </c>
      <c r="G56" s="139">
        <f>IF(G44=1,G38,G$22)*G30*G50</f>
        <v>0</v>
      </c>
      <c r="H56" s="139">
        <f>IF(H44=1,H38,H$22)*H30*H50</f>
        <v>0</v>
      </c>
      <c r="I56" s="151">
        <f>IF(I44=1,I38,I$22)*I30*I50</f>
        <v>0</v>
      </c>
      <c r="J56" s="152"/>
      <c r="K56" s="45"/>
    </row>
    <row r="57" spans="1:11" x14ac:dyDescent="0.25">
      <c r="B57" s="462"/>
      <c r="C57" s="467"/>
      <c r="D57" s="138" t="s">
        <v>252</v>
      </c>
      <c r="E57" s="139">
        <f>IF(E45=1,E39,E$22)*E30*E51</f>
        <v>0</v>
      </c>
      <c r="F57" s="139">
        <f>IF(F45=1,F39,F$22)*F30*F51</f>
        <v>0</v>
      </c>
      <c r="G57" s="139">
        <f>IF(G45=1,G39,G$22)*G30*G51</f>
        <v>0</v>
      </c>
      <c r="H57" s="139">
        <f>IF(H45=1,H39,H$22)*H30*H51</f>
        <v>0</v>
      </c>
      <c r="I57" s="151">
        <f>IF(I45=1,I39,I$22)*I30*I51</f>
        <v>0</v>
      </c>
      <c r="J57" s="152"/>
      <c r="K57" s="45"/>
    </row>
    <row r="58" spans="1:11" ht="30" x14ac:dyDescent="0.25">
      <c r="B58" s="462"/>
      <c r="C58" s="467"/>
      <c r="D58" s="138" t="s">
        <v>239</v>
      </c>
      <c r="E58" s="139">
        <f>IF(E46=1,E40,E$22)*E30*E52</f>
        <v>0</v>
      </c>
      <c r="F58" s="139">
        <f>IF(F46=1,F40,F$22)*F30*F52</f>
        <v>0</v>
      </c>
      <c r="G58" s="139">
        <f>IF(G46=1,G40,G$22)*G30*G52</f>
        <v>0</v>
      </c>
      <c r="H58" s="139">
        <f>IF(H46=1,H40,H$22)*H30*H52</f>
        <v>0</v>
      </c>
      <c r="I58" s="151">
        <f>IF(I46=1,I40,I$22)*I30*I52</f>
        <v>0</v>
      </c>
      <c r="J58" s="152"/>
    </row>
    <row r="59" spans="1:11" ht="30" x14ac:dyDescent="0.25">
      <c r="B59" s="462"/>
      <c r="C59" s="467"/>
      <c r="D59" s="138" t="s">
        <v>240</v>
      </c>
      <c r="E59" s="139">
        <f>IF(E47=1,E41,E$22)*E30*E53</f>
        <v>0</v>
      </c>
      <c r="F59" s="139">
        <f>IF(F47=1,F41,F$22)*F30*F53</f>
        <v>0</v>
      </c>
      <c r="G59" s="139">
        <f>IF(G47=1,G41,G$22)*G30*G53</f>
        <v>0</v>
      </c>
      <c r="H59" s="139">
        <f>IF(H47=1,H41,H$22)*H30*H53</f>
        <v>0</v>
      </c>
      <c r="I59" s="151">
        <f>IF(I47=1,I41,I$22)*I30*I53</f>
        <v>0</v>
      </c>
      <c r="J59" s="152"/>
    </row>
    <row r="60" spans="1:11" ht="30.75" thickBot="1" x14ac:dyDescent="0.3">
      <c r="B60" s="462"/>
      <c r="C60" s="468"/>
      <c r="D60" s="140" t="s">
        <v>241</v>
      </c>
      <c r="E60" s="141">
        <f>IF(E48=1,E42,E$22)*E30*E54</f>
        <v>0</v>
      </c>
      <c r="F60" s="141">
        <f>IF(F48=1,F42,F$22)*F30*F54</f>
        <v>0</v>
      </c>
      <c r="G60" s="141">
        <f>IF(G48=1,G42,G$22)*G30*G54</f>
        <v>0</v>
      </c>
      <c r="H60" s="141">
        <f>IF(H48=1,H42,H$22)*H30*H54</f>
        <v>0</v>
      </c>
      <c r="I60" s="153">
        <f>IF(I48=1,I42,I$22)*I30*I54</f>
        <v>0</v>
      </c>
      <c r="J60" s="154"/>
    </row>
    <row r="61" spans="1:11" s="36" customFormat="1" ht="15" customHeight="1" x14ac:dyDescent="0.25">
      <c r="A61" s="46"/>
      <c r="B61" s="104"/>
      <c r="C61" s="489" t="s">
        <v>246</v>
      </c>
      <c r="D61" s="127" t="s">
        <v>270</v>
      </c>
      <c r="E61" s="113">
        <f>IF(E27="Igen",'listák, paraméterek'!$C$38)*E49*E30</f>
        <v>0</v>
      </c>
      <c r="F61" s="113">
        <f>IF(F27="Igen",'listák, paraméterek'!$C$38)*F49*F30</f>
        <v>0</v>
      </c>
      <c r="G61" s="113">
        <f>IF(G27="Igen",'listák, paraméterek'!$C$38)*G49*G30</f>
        <v>0</v>
      </c>
      <c r="H61" s="113">
        <f>IF(H27="Igen",'listák, paraméterek'!$C$38)*H49*H30</f>
        <v>0</v>
      </c>
      <c r="I61" s="113">
        <f>IF(I27="Igen",'listák, paraméterek'!$C$38)*I49*I30</f>
        <v>0</v>
      </c>
      <c r="J61" s="114"/>
    </row>
    <row r="62" spans="1:11" s="36" customFormat="1" ht="15" customHeight="1" x14ac:dyDescent="0.25">
      <c r="A62" s="46"/>
      <c r="B62" s="104"/>
      <c r="C62" s="490"/>
      <c r="D62" s="128" t="s">
        <v>271</v>
      </c>
      <c r="E62" s="244">
        <f>MIN(E61,E55*E49*E30)</f>
        <v>0</v>
      </c>
      <c r="F62" s="115">
        <f>MIN(F61,F55*F49*F30)</f>
        <v>0</v>
      </c>
      <c r="G62" s="115">
        <f>MIN(G61,G55*G49*G30)</f>
        <v>0</v>
      </c>
      <c r="H62" s="115">
        <f>MIN(H61,H55*H49*H30)</f>
        <v>0</v>
      </c>
      <c r="I62" s="115">
        <f>MIN(I61,I55*I49*I30)</f>
        <v>0</v>
      </c>
      <c r="J62" s="116">
        <f>E62*E20+F62*F20+G62*G20+H62*H20+I62*I20</f>
        <v>0</v>
      </c>
    </row>
    <row r="63" spans="1:11" s="36" customFormat="1" ht="15" customHeight="1" x14ac:dyDescent="0.25">
      <c r="A63" s="46"/>
      <c r="B63" s="104"/>
      <c r="C63" s="490"/>
      <c r="D63" s="128" t="s">
        <v>272</v>
      </c>
      <c r="E63" s="115">
        <f>E62*Szocho*E30*E20</f>
        <v>0</v>
      </c>
      <c r="F63" s="115">
        <f>F62*Szocho*F30*F20</f>
        <v>0</v>
      </c>
      <c r="G63" s="115">
        <f>G62*Szocho*G30*G20</f>
        <v>0</v>
      </c>
      <c r="H63" s="115">
        <f>H62*Szocho*H30*H20</f>
        <v>0</v>
      </c>
      <c r="I63" s="115">
        <f>I62*Szocho*I30*I20</f>
        <v>0</v>
      </c>
      <c r="J63" s="117"/>
    </row>
    <row r="64" spans="1:11" s="36" customFormat="1" ht="15" customHeight="1" x14ac:dyDescent="0.25">
      <c r="A64" s="46"/>
      <c r="B64" s="104"/>
      <c r="C64" s="490"/>
      <c r="D64" s="128" t="s">
        <v>245</v>
      </c>
      <c r="E64" s="115">
        <f>MIN(E61,E56*E50)*E30</f>
        <v>0</v>
      </c>
      <c r="F64" s="115">
        <f>MIN(F61,F56*F50)*F30</f>
        <v>0</v>
      </c>
      <c r="G64" s="115">
        <f>MIN(G61,G56*G50)*G30</f>
        <v>0</v>
      </c>
      <c r="H64" s="115">
        <f>MIN(H61,H56*H50)*H30</f>
        <v>0</v>
      </c>
      <c r="I64" s="115">
        <f>MIN(I61,I56*I50)*I30</f>
        <v>0</v>
      </c>
      <c r="J64" s="117"/>
    </row>
    <row r="65" spans="1:12" s="36" customFormat="1" ht="50.25" customHeight="1" thickBot="1" x14ac:dyDescent="0.3">
      <c r="A65" s="46"/>
      <c r="B65" s="104"/>
      <c r="C65" s="491"/>
      <c r="D65" s="144" t="s">
        <v>273</v>
      </c>
      <c r="E65" s="142">
        <f>E64*Szakképzési_hozzájárulás*E30*E20</f>
        <v>0</v>
      </c>
      <c r="F65" s="142">
        <f>F64*Szakképzési_hozzájárulás*F30*F20</f>
        <v>0</v>
      </c>
      <c r="G65" s="142">
        <f>G64*Szakképzési_hozzájárulás*G30*G20</f>
        <v>0</v>
      </c>
      <c r="H65" s="142">
        <f>H64*Szakképzési_hozzájárulás*H30*H20</f>
        <v>0</v>
      </c>
      <c r="I65" s="142">
        <f>I64*Szakképzési_hozzájárulás*I30*I20</f>
        <v>0</v>
      </c>
      <c r="J65" s="143"/>
    </row>
    <row r="66" spans="1:12" x14ac:dyDescent="0.25">
      <c r="B66" s="124"/>
      <c r="C66" s="486" t="s">
        <v>260</v>
      </c>
      <c r="D66" s="180" t="s">
        <v>96</v>
      </c>
      <c r="E66" s="246">
        <f>E55*E49*E$20*Szocho-E63</f>
        <v>0</v>
      </c>
      <c r="F66" s="118">
        <f>F55*F49*F$20*Szocho-F63</f>
        <v>0</v>
      </c>
      <c r="G66" s="118">
        <f>G55*G49*G$20*Szocho-G63</f>
        <v>0</v>
      </c>
      <c r="H66" s="118">
        <f>H55*H49*H$20*Szocho-H63</f>
        <v>0</v>
      </c>
      <c r="I66" s="118">
        <f>I55*I49*I$20*Szocho-I63</f>
        <v>0</v>
      </c>
      <c r="J66" s="155">
        <f>SUM(E66:I66)</f>
        <v>0</v>
      </c>
    </row>
    <row r="67" spans="1:12" x14ac:dyDescent="0.25">
      <c r="B67" s="124"/>
      <c r="C67" s="487"/>
      <c r="D67" s="181" t="s">
        <v>136</v>
      </c>
      <c r="E67" s="119">
        <f>E56*E50*E$20*Szakképzési_hozzájárulás-E65</f>
        <v>0</v>
      </c>
      <c r="F67" s="119">
        <f>F56*F50*F$20*Szakképzési_hozzájárulás-F65</f>
        <v>0</v>
      </c>
      <c r="G67" s="119">
        <f>G56*G50*G$20*Szakképzési_hozzájárulás-G65</f>
        <v>0</v>
      </c>
      <c r="H67" s="119">
        <f>H56*H50*H$20*Szakképzési_hozzájárulás-H65</f>
        <v>0</v>
      </c>
      <c r="I67" s="119">
        <f>I56*I50*I$20*Szakképzési_hozzájárulás-I65</f>
        <v>0</v>
      </c>
      <c r="J67" s="120"/>
    </row>
    <row r="68" spans="1:12" s="45" customFormat="1" x14ac:dyDescent="0.25">
      <c r="B68" s="124"/>
      <c r="C68" s="487"/>
      <c r="D68" s="182" t="s">
        <v>119</v>
      </c>
      <c r="E68" s="119">
        <f>E57*E51*E$20*Járulék_nyugdíj</f>
        <v>0</v>
      </c>
      <c r="F68" s="119">
        <f>F57*F51*F$20*Járulék_nyugdíj</f>
        <v>0</v>
      </c>
      <c r="G68" s="119">
        <f>G57*G51*G$20*Járulék_nyugdíj</f>
        <v>0</v>
      </c>
      <c r="H68" s="119">
        <f>H57*H51*H$20*Járulék_nyugdíj</f>
        <v>0</v>
      </c>
      <c r="I68" s="119">
        <f>I57*I51*I$20*Járulék_nyugdíj</f>
        <v>0</v>
      </c>
      <c r="J68" s="125"/>
      <c r="L68" s="145"/>
    </row>
    <row r="69" spans="1:12" s="45" customFormat="1" ht="30" customHeight="1" x14ac:dyDescent="0.25">
      <c r="B69" s="124"/>
      <c r="C69" s="487"/>
      <c r="D69" s="237" t="s">
        <v>239</v>
      </c>
      <c r="E69" s="119">
        <f>E58*E52*E$20*Járulék_természetbeni_eü</f>
        <v>0</v>
      </c>
      <c r="F69" s="119">
        <f>F58*F52*F$20*Járulék_természetbeni_eü</f>
        <v>0</v>
      </c>
      <c r="G69" s="119">
        <f>G58*G52*G$20*Járulék_természetbeni_eü</f>
        <v>0</v>
      </c>
      <c r="H69" s="119">
        <f>H58*H52*H$20*Járulék_természetbeni_eü</f>
        <v>0</v>
      </c>
      <c r="I69" s="119">
        <f>I58*I52*I$20*Járulék_természetbeni_eü</f>
        <v>0</v>
      </c>
      <c r="J69" s="126"/>
    </row>
    <row r="70" spans="1:12" s="45" customFormat="1" ht="30" x14ac:dyDescent="0.25">
      <c r="B70" s="124"/>
      <c r="C70" s="487"/>
      <c r="D70" s="237" t="s">
        <v>240</v>
      </c>
      <c r="E70" s="119">
        <f>E59*E53*E$20*Járulék_pénzbeli_eü</f>
        <v>0</v>
      </c>
      <c r="F70" s="119">
        <f>F59*F53*F$20*Járulék_pénzbeli_eü</f>
        <v>0</v>
      </c>
      <c r="G70" s="119">
        <f>G59*G53*G$20*Járulék_pénzbeli_eü</f>
        <v>0</v>
      </c>
      <c r="H70" s="119">
        <f>H59*H53*H$20*Járulék_pénzbeli_eü</f>
        <v>0</v>
      </c>
      <c r="I70" s="119">
        <f>I59*I53*I$20*Járulék_pénzbeli_eü</f>
        <v>0</v>
      </c>
      <c r="J70" s="125"/>
    </row>
    <row r="71" spans="1:12" s="45" customFormat="1" ht="30" x14ac:dyDescent="0.25">
      <c r="B71" s="124"/>
      <c r="C71" s="487"/>
      <c r="D71" s="237" t="s">
        <v>241</v>
      </c>
      <c r="E71" s="244">
        <f>E60*E54*E$20*Járulék_munkaerőpiaci</f>
        <v>0</v>
      </c>
      <c r="F71" s="119">
        <f>F60*F54*F$20*Járulék_munkaerőpiaci</f>
        <v>0</v>
      </c>
      <c r="G71" s="119">
        <f>G60*G54*G$20*Járulék_munkaerőpiaci</f>
        <v>0</v>
      </c>
      <c r="H71" s="119">
        <f>H60*H54*H$20*Járulék_munkaerőpiaci</f>
        <v>0</v>
      </c>
      <c r="I71" s="119">
        <f>I60*I54*I$20*Járulék_munkaerőpiaci</f>
        <v>0</v>
      </c>
      <c r="J71" s="156">
        <f>SUM(E71:I71)</f>
        <v>0</v>
      </c>
    </row>
    <row r="72" spans="1:12" s="36" customFormat="1" ht="30.75" thickBot="1" x14ac:dyDescent="0.3">
      <c r="A72" s="46"/>
      <c r="B72" s="105"/>
      <c r="C72" s="488"/>
      <c r="D72" s="238" t="s">
        <v>109</v>
      </c>
      <c r="E72" s="245">
        <f>IF(E25='listák, paraméterek'!$A$6,Egészségügyi_szolgáltatási_járulék*E20,0)</f>
        <v>0</v>
      </c>
      <c r="F72" s="157">
        <f>IF(F25='listák, paraméterek'!$A$6,Egészségügyi_szolgáltatási_járulék*F20,0)</f>
        <v>0</v>
      </c>
      <c r="G72" s="157">
        <f>IF(G25='listák, paraméterek'!$A$6,Egészségügyi_szolgáltatási_járulék*G20,0)</f>
        <v>0</v>
      </c>
      <c r="H72" s="157">
        <f>IF(H25='listák, paraméterek'!$A$6,Egészségügyi_szolgáltatási_járulék*H20,0)</f>
        <v>0</v>
      </c>
      <c r="I72" s="157">
        <f>IF(I25='listák, paraméterek'!$A$6,Egészségügyi_szolgáltatási_járulék*I20,0)</f>
        <v>0</v>
      </c>
      <c r="J72" s="158">
        <f>SUM(E72:I72)</f>
        <v>0</v>
      </c>
    </row>
    <row r="73" spans="1:12" ht="21.75" thickBot="1" x14ac:dyDescent="0.3">
      <c r="B73" s="132"/>
      <c r="C73" s="458" t="s">
        <v>281</v>
      </c>
      <c r="D73" s="459"/>
      <c r="E73" s="459"/>
      <c r="F73" s="459"/>
      <c r="G73" s="459"/>
      <c r="H73" s="459"/>
      <c r="I73" s="459"/>
      <c r="J73" s="460"/>
    </row>
    <row r="74" spans="1:12" x14ac:dyDescent="0.25">
      <c r="C74" s="461" t="s">
        <v>135</v>
      </c>
      <c r="D74" s="461"/>
      <c r="E74" s="203">
        <f>E22*E20</f>
        <v>0</v>
      </c>
      <c r="F74" s="203">
        <f>F22*F20</f>
        <v>0</v>
      </c>
      <c r="G74" s="203">
        <f>G22*G20</f>
        <v>0</v>
      </c>
      <c r="H74" s="203">
        <f>H22*H20</f>
        <v>0</v>
      </c>
      <c r="I74" s="203">
        <f>I22*I20</f>
        <v>0</v>
      </c>
      <c r="J74" s="204"/>
    </row>
    <row r="75" spans="1:12" x14ac:dyDescent="0.25">
      <c r="C75" s="450" t="s">
        <v>251</v>
      </c>
      <c r="D75" s="450"/>
      <c r="E75" s="122">
        <f>IF(OR(E20=0,Főlap!E8='listák, paraméterek'!A3),E23*12,E20*E23)</f>
        <v>0</v>
      </c>
      <c r="F75" s="122">
        <f>F23*F20</f>
        <v>0</v>
      </c>
      <c r="G75" s="122">
        <f>G23*G20</f>
        <v>0</v>
      </c>
      <c r="H75" s="122">
        <f>H23*H20</f>
        <v>0</v>
      </c>
      <c r="I75" s="122">
        <f>I23*I20</f>
        <v>0</v>
      </c>
      <c r="J75" s="146"/>
    </row>
    <row r="76" spans="1:12" x14ac:dyDescent="0.25">
      <c r="C76" s="450" t="s">
        <v>247</v>
      </c>
      <c r="D76" s="450"/>
      <c r="E76" s="123">
        <f>E74*Szja</f>
        <v>0</v>
      </c>
      <c r="F76" s="123">
        <f t="shared" ref="F76:I77" si="5">F74*Szja</f>
        <v>0</v>
      </c>
      <c r="G76" s="123">
        <f t="shared" si="5"/>
        <v>0</v>
      </c>
      <c r="H76" s="123">
        <f t="shared" si="5"/>
        <v>0</v>
      </c>
      <c r="I76" s="123">
        <f t="shared" si="5"/>
        <v>0</v>
      </c>
      <c r="J76" s="146"/>
    </row>
    <row r="77" spans="1:12" x14ac:dyDescent="0.25">
      <c r="C77" s="450" t="s">
        <v>250</v>
      </c>
      <c r="D77" s="450"/>
      <c r="E77" s="123">
        <f>E75*Szja</f>
        <v>0</v>
      </c>
      <c r="F77" s="123">
        <f t="shared" si="5"/>
        <v>0</v>
      </c>
      <c r="G77" s="123">
        <f t="shared" si="5"/>
        <v>0</v>
      </c>
      <c r="H77" s="123">
        <f t="shared" si="5"/>
        <v>0</v>
      </c>
      <c r="I77" s="123">
        <f t="shared" si="5"/>
        <v>0</v>
      </c>
      <c r="J77" s="146"/>
    </row>
    <row r="78" spans="1:12" x14ac:dyDescent="0.25">
      <c r="C78" s="450" t="s">
        <v>248</v>
      </c>
      <c r="D78" s="450"/>
      <c r="E78" s="249">
        <f>MAX(0,E76-E77)</f>
        <v>0</v>
      </c>
      <c r="F78" s="123">
        <f t="shared" ref="F78:I78" si="6">MAX(0,F76-F77)</f>
        <v>0</v>
      </c>
      <c r="G78" s="123">
        <f t="shared" si="6"/>
        <v>0</v>
      </c>
      <c r="H78" s="123">
        <f t="shared" si="6"/>
        <v>0</v>
      </c>
      <c r="I78" s="123">
        <f t="shared" si="6"/>
        <v>0</v>
      </c>
      <c r="J78" s="121">
        <f>SUM(E78:I78)</f>
        <v>0</v>
      </c>
    </row>
    <row r="79" spans="1:12" s="36" customFormat="1" x14ac:dyDescent="0.25">
      <c r="A79" s="46"/>
      <c r="B79" s="65"/>
      <c r="C79" s="450" t="s">
        <v>249</v>
      </c>
      <c r="D79" s="450"/>
      <c r="E79" s="123">
        <f>MIN(E76,E77)</f>
        <v>0</v>
      </c>
      <c r="F79" s="123">
        <f t="shared" ref="F79:I79" si="7">MIN(F76,F77)</f>
        <v>0</v>
      </c>
      <c r="G79" s="123">
        <f t="shared" si="7"/>
        <v>0</v>
      </c>
      <c r="H79" s="123">
        <f t="shared" si="7"/>
        <v>0</v>
      </c>
      <c r="I79" s="123">
        <f t="shared" si="7"/>
        <v>0</v>
      </c>
      <c r="J79" s="146"/>
    </row>
    <row r="80" spans="1:12" x14ac:dyDescent="0.25">
      <c r="C80" s="450" t="s">
        <v>137</v>
      </c>
      <c r="D80" s="450"/>
      <c r="E80" s="123">
        <f>E77-E79</f>
        <v>0</v>
      </c>
      <c r="F80" s="123">
        <f t="shared" ref="F80:I80" si="8">F77-F79</f>
        <v>0</v>
      </c>
      <c r="G80" s="123">
        <f t="shared" si="8"/>
        <v>0</v>
      </c>
      <c r="H80" s="123">
        <f t="shared" si="8"/>
        <v>0</v>
      </c>
      <c r="I80" s="123">
        <f t="shared" si="8"/>
        <v>0</v>
      </c>
      <c r="J80" s="146"/>
    </row>
    <row r="81" spans="1:11" x14ac:dyDescent="0.25">
      <c r="C81" s="449" t="s">
        <v>256</v>
      </c>
      <c r="D81" s="189" t="s">
        <v>255</v>
      </c>
      <c r="E81" s="123">
        <f>MIN(E68,E80)</f>
        <v>0</v>
      </c>
      <c r="F81" s="123">
        <f>MIN(F68,F80)</f>
        <v>0</v>
      </c>
      <c r="G81" s="123">
        <f>MIN(G68,G80)</f>
        <v>0</v>
      </c>
      <c r="H81" s="123">
        <f>MIN(H68,H80)</f>
        <v>0</v>
      </c>
      <c r="I81" s="123">
        <f>MIN(I68,I80)</f>
        <v>0</v>
      </c>
      <c r="J81" s="146"/>
    </row>
    <row r="82" spans="1:11" ht="30" x14ac:dyDescent="0.25">
      <c r="C82" s="449"/>
      <c r="D82" s="189" t="s">
        <v>257</v>
      </c>
      <c r="E82" s="123">
        <f>MIN(E80-E81,E69)</f>
        <v>0</v>
      </c>
      <c r="F82" s="123">
        <f>MIN(F80-F81,F69)</f>
        <v>0</v>
      </c>
      <c r="G82" s="123">
        <f>MIN(G80-G81,G69)</f>
        <v>0</v>
      </c>
      <c r="H82" s="123">
        <f>MIN(H80-H81,H69)</f>
        <v>0</v>
      </c>
      <c r="I82" s="123">
        <f>MIN(I80-I81,I69)</f>
        <v>0</v>
      </c>
      <c r="J82" s="146"/>
    </row>
    <row r="83" spans="1:11" ht="30" x14ac:dyDescent="0.25">
      <c r="C83" s="449"/>
      <c r="D83" s="189" t="s">
        <v>258</v>
      </c>
      <c r="E83" s="123">
        <f>MIN(E80-E81-E82,E70)</f>
        <v>0</v>
      </c>
      <c r="F83" s="123">
        <f>MIN(F80-F81-F82,F70)</f>
        <v>0</v>
      </c>
      <c r="G83" s="123">
        <f>MIN(G80-G81-G82,G70)</f>
        <v>0</v>
      </c>
      <c r="H83" s="123">
        <f>MIN(H80-H81-H82,H70)</f>
        <v>0</v>
      </c>
      <c r="I83" s="123">
        <f>MIN(I80-I81-I82,I70)</f>
        <v>0</v>
      </c>
      <c r="J83" s="146"/>
    </row>
    <row r="84" spans="1:11" s="36" customFormat="1" x14ac:dyDescent="0.25">
      <c r="A84" s="46"/>
      <c r="B84" s="124"/>
      <c r="C84" s="449" t="s">
        <v>259</v>
      </c>
      <c r="D84" s="189" t="s">
        <v>119</v>
      </c>
      <c r="E84" s="244">
        <f t="shared" ref="E84:I86" si="9">E68-E81</f>
        <v>0</v>
      </c>
      <c r="F84" s="119">
        <f t="shared" si="9"/>
        <v>0</v>
      </c>
      <c r="G84" s="119">
        <f t="shared" si="9"/>
        <v>0</v>
      </c>
      <c r="H84" s="119">
        <f t="shared" si="9"/>
        <v>0</v>
      </c>
      <c r="I84" s="119">
        <f t="shared" si="9"/>
        <v>0</v>
      </c>
      <c r="J84" s="147">
        <f>SUM(E84:I84)</f>
        <v>0</v>
      </c>
    </row>
    <row r="85" spans="1:11" s="36" customFormat="1" ht="30" x14ac:dyDescent="0.25">
      <c r="A85" s="46"/>
      <c r="B85" s="124"/>
      <c r="C85" s="449"/>
      <c r="D85" s="189" t="s">
        <v>239</v>
      </c>
      <c r="E85" s="244">
        <f t="shared" si="9"/>
        <v>0</v>
      </c>
      <c r="F85" s="119">
        <f t="shared" si="9"/>
        <v>0</v>
      </c>
      <c r="G85" s="119">
        <f t="shared" si="9"/>
        <v>0</v>
      </c>
      <c r="H85" s="119">
        <f t="shared" si="9"/>
        <v>0</v>
      </c>
      <c r="I85" s="119">
        <f t="shared" si="9"/>
        <v>0</v>
      </c>
      <c r="J85" s="121">
        <f>SUM(E85:I85)</f>
        <v>0</v>
      </c>
    </row>
    <row r="86" spans="1:11" s="36" customFormat="1" ht="30" x14ac:dyDescent="0.25">
      <c r="A86" s="46"/>
      <c r="B86" s="124"/>
      <c r="C86" s="449"/>
      <c r="D86" s="189" t="s">
        <v>240</v>
      </c>
      <c r="E86" s="244">
        <f t="shared" si="9"/>
        <v>0</v>
      </c>
      <c r="F86" s="119">
        <f t="shared" si="9"/>
        <v>0</v>
      </c>
      <c r="G86" s="119">
        <f t="shared" si="9"/>
        <v>0</v>
      </c>
      <c r="H86" s="119">
        <f t="shared" si="9"/>
        <v>0</v>
      </c>
      <c r="I86" s="119">
        <f t="shared" si="9"/>
        <v>0</v>
      </c>
      <c r="J86" s="121">
        <f>SUM(E86:I86)</f>
        <v>0</v>
      </c>
    </row>
    <row r="87" spans="1:11" s="45" customFormat="1" ht="15.75" thickBot="1" x14ac:dyDescent="0.3">
      <c r="B87" s="124"/>
      <c r="C87" s="124"/>
      <c r="D87" s="129"/>
      <c r="E87" s="130"/>
      <c r="F87" s="130"/>
      <c r="G87" s="130"/>
      <c r="H87" s="130"/>
      <c r="I87" s="130"/>
      <c r="J87" s="131"/>
    </row>
    <row r="88" spans="1:11" ht="21" customHeight="1" thickBot="1" x14ac:dyDescent="0.3">
      <c r="C88" s="472" t="s">
        <v>269</v>
      </c>
      <c r="D88" s="445"/>
      <c r="E88" s="446"/>
      <c r="F88" s="132"/>
      <c r="G88" s="132"/>
      <c r="H88" s="132"/>
      <c r="I88" s="132"/>
      <c r="J88" s="132"/>
      <c r="K88" s="45"/>
    </row>
    <row r="89" spans="1:11" x14ac:dyDescent="0.25">
      <c r="C89" s="494" t="s">
        <v>129</v>
      </c>
      <c r="D89" s="495"/>
      <c r="E89" s="200">
        <f>'Egyéni vállalkozó'!D10+'Egyéni vállalkozó'!D11</f>
        <v>0</v>
      </c>
      <c r="F89" s="45"/>
      <c r="G89" s="45"/>
      <c r="H89" s="45"/>
      <c r="I89" s="45"/>
      <c r="J89" s="45"/>
      <c r="K89" s="45"/>
    </row>
    <row r="90" spans="1:11" s="45" customFormat="1" x14ac:dyDescent="0.25">
      <c r="B90" s="65"/>
      <c r="C90" s="496" t="s">
        <v>131</v>
      </c>
      <c r="D90" s="497"/>
      <c r="E90" s="183">
        <f>IF(E7="Igen",'Egyéni vállalkozó'!D22,'Egyéni vállalkozó'!D21)</f>
        <v>0.4</v>
      </c>
    </row>
    <row r="91" spans="1:11" s="45" customFormat="1" ht="15.75" thickBot="1" x14ac:dyDescent="0.3">
      <c r="B91" s="65"/>
      <c r="C91" s="498" t="s">
        <v>118</v>
      </c>
      <c r="D91" s="499"/>
      <c r="E91" s="230">
        <f>E89*(1-E90)</f>
        <v>0</v>
      </c>
    </row>
    <row r="92" spans="1:11" s="45" customFormat="1" ht="15" customHeight="1" x14ac:dyDescent="0.25">
      <c r="B92" s="65"/>
      <c r="C92" s="512" t="s">
        <v>275</v>
      </c>
      <c r="D92" s="188" t="s">
        <v>133</v>
      </c>
      <c r="E92" s="231">
        <f>MAX(E33*1.125*E20,E91)</f>
        <v>2173500</v>
      </c>
    </row>
    <row r="93" spans="1:11" s="45" customFormat="1" x14ac:dyDescent="0.25">
      <c r="B93" s="65"/>
      <c r="C93" s="513"/>
      <c r="D93" s="189" t="s">
        <v>252</v>
      </c>
      <c r="E93" s="232">
        <f>MAX(E33*1*E20,E91)</f>
        <v>1932000</v>
      </c>
    </row>
    <row r="94" spans="1:11" s="45" customFormat="1" ht="30" x14ac:dyDescent="0.25">
      <c r="B94" s="65"/>
      <c r="C94" s="513"/>
      <c r="D94" s="189" t="s">
        <v>239</v>
      </c>
      <c r="E94" s="232">
        <f>MAX(E33*1.5*E20,E91)</f>
        <v>2898000</v>
      </c>
    </row>
    <row r="95" spans="1:11" s="45" customFormat="1" ht="30" x14ac:dyDescent="0.25">
      <c r="B95" s="65"/>
      <c r="C95" s="513"/>
      <c r="D95" s="189" t="s">
        <v>240</v>
      </c>
      <c r="E95" s="232">
        <f>MAX(E33*1.5*E20,E91)</f>
        <v>2898000</v>
      </c>
    </row>
    <row r="96" spans="1:11" s="45" customFormat="1" ht="30.75" thickBot="1" x14ac:dyDescent="0.3">
      <c r="B96" s="65"/>
      <c r="C96" s="514"/>
      <c r="D96" s="140" t="s">
        <v>241</v>
      </c>
      <c r="E96" s="230">
        <f>MAX(E33*1.5*E20,E91)</f>
        <v>2898000</v>
      </c>
    </row>
    <row r="97" spans="2:5" s="45" customFormat="1" ht="15" customHeight="1" x14ac:dyDescent="0.25">
      <c r="B97" s="65"/>
      <c r="C97" s="512" t="s">
        <v>276</v>
      </c>
      <c r="D97" s="188" t="s">
        <v>133</v>
      </c>
      <c r="E97" s="231">
        <f>IF(E43=1,E92,$E$91)*$E$30*E49</f>
        <v>0</v>
      </c>
    </row>
    <row r="98" spans="2:5" s="45" customFormat="1" x14ac:dyDescent="0.25">
      <c r="B98" s="65"/>
      <c r="C98" s="513"/>
      <c r="D98" s="189" t="s">
        <v>252</v>
      </c>
      <c r="E98" s="232">
        <f>IF(E45=1,E93,$E$91)*$E$30*E51</f>
        <v>0</v>
      </c>
    </row>
    <row r="99" spans="2:5" s="45" customFormat="1" ht="30" x14ac:dyDescent="0.25">
      <c r="B99" s="65"/>
      <c r="C99" s="513"/>
      <c r="D99" s="189" t="s">
        <v>239</v>
      </c>
      <c r="E99" s="232">
        <f>IF(E46=1,E94,$E$91)*$E$30*E52</f>
        <v>0</v>
      </c>
    </row>
    <row r="100" spans="2:5" s="45" customFormat="1" ht="30" x14ac:dyDescent="0.25">
      <c r="B100" s="65"/>
      <c r="C100" s="513"/>
      <c r="D100" s="189" t="s">
        <v>240</v>
      </c>
      <c r="E100" s="232">
        <f>IF(E47=1,E95,$E$91)*$E$30*E53</f>
        <v>0</v>
      </c>
    </row>
    <row r="101" spans="2:5" s="45" customFormat="1" ht="30.75" thickBot="1" x14ac:dyDescent="0.3">
      <c r="B101" s="65"/>
      <c r="C101" s="514"/>
      <c r="D101" s="140" t="s">
        <v>241</v>
      </c>
      <c r="E101" s="230">
        <f>IF(E48=1,E96,$E$91)*$E$30*E54</f>
        <v>0</v>
      </c>
    </row>
    <row r="102" spans="2:5" s="45" customFormat="1" ht="15" customHeight="1" x14ac:dyDescent="0.25">
      <c r="B102" s="65"/>
      <c r="C102" s="515" t="s">
        <v>277</v>
      </c>
      <c r="D102" s="190" t="s">
        <v>278</v>
      </c>
      <c r="E102" s="231">
        <f>E61*E20</f>
        <v>0</v>
      </c>
    </row>
    <row r="103" spans="2:5" s="45" customFormat="1" ht="15" customHeight="1" x14ac:dyDescent="0.25">
      <c r="B103" s="65"/>
      <c r="C103" s="516"/>
      <c r="D103" s="191" t="s">
        <v>279</v>
      </c>
      <c r="E103" s="232">
        <f>MIN(E102,E97*E49*E30)</f>
        <v>0</v>
      </c>
    </row>
    <row r="104" spans="2:5" s="45" customFormat="1" ht="15" customHeight="1" thickBot="1" x14ac:dyDescent="0.3">
      <c r="B104" s="65"/>
      <c r="C104" s="517"/>
      <c r="D104" s="192" t="s">
        <v>272</v>
      </c>
      <c r="E104" s="230">
        <f>E103*Szocho</f>
        <v>0</v>
      </c>
    </row>
    <row r="105" spans="2:5" s="45" customFormat="1" ht="15" customHeight="1" x14ac:dyDescent="0.25">
      <c r="B105" s="65"/>
      <c r="C105" s="515" t="s">
        <v>260</v>
      </c>
      <c r="D105" s="193" t="s">
        <v>96</v>
      </c>
      <c r="E105" s="233">
        <f>E97*Szocho-E104</f>
        <v>0</v>
      </c>
    </row>
    <row r="106" spans="2:5" s="45" customFormat="1" x14ac:dyDescent="0.25">
      <c r="B106" s="65"/>
      <c r="C106" s="516"/>
      <c r="D106" s="5" t="s">
        <v>119</v>
      </c>
      <c r="E106" s="232">
        <f>E98*Járulék_nyugdíj</f>
        <v>0</v>
      </c>
    </row>
    <row r="107" spans="2:5" s="45" customFormat="1" ht="30" x14ac:dyDescent="0.25">
      <c r="B107" s="65"/>
      <c r="C107" s="516"/>
      <c r="D107" s="5" t="s">
        <v>239</v>
      </c>
      <c r="E107" s="232">
        <f>E99*Járulék_természetbeni_eü</f>
        <v>0</v>
      </c>
    </row>
    <row r="108" spans="2:5" s="45" customFormat="1" ht="30" x14ac:dyDescent="0.25">
      <c r="B108" s="65"/>
      <c r="C108" s="516"/>
      <c r="D108" s="5" t="s">
        <v>240</v>
      </c>
      <c r="E108" s="232">
        <f>E100*Járulék_pénzbeli_eü</f>
        <v>0</v>
      </c>
    </row>
    <row r="109" spans="2:5" s="45" customFormat="1" ht="30" x14ac:dyDescent="0.25">
      <c r="B109" s="65"/>
      <c r="C109" s="516"/>
      <c r="D109" s="5" t="s">
        <v>241</v>
      </c>
      <c r="E109" s="201">
        <f>E101*Járulék_munkaerőpiaci</f>
        <v>0</v>
      </c>
    </row>
    <row r="110" spans="2:5" s="45" customFormat="1" ht="30.75" thickBot="1" x14ac:dyDescent="0.3">
      <c r="B110" s="65"/>
      <c r="C110" s="517"/>
      <c r="D110" s="194" t="s">
        <v>109</v>
      </c>
      <c r="E110" s="202">
        <f>IF(E25='listák, paraméterek'!$A$6,Egészségügyi_szolgáltatási_járulék*E20,0)</f>
        <v>0</v>
      </c>
    </row>
    <row r="111" spans="2:5" s="45" customFormat="1" x14ac:dyDescent="0.25">
      <c r="B111" s="65"/>
      <c r="C111" s="502" t="s">
        <v>251</v>
      </c>
      <c r="D111" s="503"/>
      <c r="E111" s="234">
        <f>E75</f>
        <v>0</v>
      </c>
    </row>
    <row r="112" spans="2:5" s="45" customFormat="1" x14ac:dyDescent="0.25">
      <c r="B112" s="65"/>
      <c r="C112" s="500" t="s">
        <v>247</v>
      </c>
      <c r="D112" s="501"/>
      <c r="E112" s="184">
        <f>E91*Szja</f>
        <v>0</v>
      </c>
    </row>
    <row r="113" spans="2:9" s="45" customFormat="1" x14ac:dyDescent="0.25">
      <c r="B113" s="65"/>
      <c r="C113" s="500" t="s">
        <v>250</v>
      </c>
      <c r="D113" s="522"/>
      <c r="E113" s="235">
        <f>E111*Szja</f>
        <v>0</v>
      </c>
    </row>
    <row r="114" spans="2:9" s="45" customFormat="1" ht="15" customHeight="1" x14ac:dyDescent="0.25">
      <c r="B114" s="133"/>
      <c r="C114" s="520" t="s">
        <v>130</v>
      </c>
      <c r="D114" s="521"/>
      <c r="E114" s="195">
        <f>MAX(0,E112-E113)</f>
        <v>0</v>
      </c>
    </row>
    <row r="115" spans="2:9" s="45" customFormat="1" x14ac:dyDescent="0.25">
      <c r="B115" s="133"/>
      <c r="C115" s="500" t="s">
        <v>249</v>
      </c>
      <c r="D115" s="501"/>
      <c r="E115" s="195">
        <f>E112-E114</f>
        <v>0</v>
      </c>
    </row>
    <row r="116" spans="2:9" s="45" customFormat="1" x14ac:dyDescent="0.25">
      <c r="B116" s="133"/>
      <c r="C116" s="500" t="s">
        <v>137</v>
      </c>
      <c r="D116" s="501"/>
      <c r="E116" s="195">
        <f>E113-E115</f>
        <v>0</v>
      </c>
    </row>
    <row r="117" spans="2:9" s="45" customFormat="1" x14ac:dyDescent="0.25">
      <c r="B117" s="133"/>
      <c r="C117" s="518" t="s">
        <v>256</v>
      </c>
      <c r="D117" s="189" t="s">
        <v>255</v>
      </c>
      <c r="E117" s="235">
        <f>MIN(E116,E106)</f>
        <v>0</v>
      </c>
    </row>
    <row r="118" spans="2:9" s="45" customFormat="1" ht="30" x14ac:dyDescent="0.25">
      <c r="B118" s="133"/>
      <c r="C118" s="518"/>
      <c r="D118" s="189" t="s">
        <v>257</v>
      </c>
      <c r="E118" s="195">
        <f>MIN(E116-E117,E107)</f>
        <v>0</v>
      </c>
    </row>
    <row r="119" spans="2:9" s="45" customFormat="1" ht="30" x14ac:dyDescent="0.25">
      <c r="B119" s="133"/>
      <c r="C119" s="518"/>
      <c r="D119" s="189" t="s">
        <v>258</v>
      </c>
      <c r="E119" s="195">
        <f>MIN(E116-E117-E118,E108)</f>
        <v>0</v>
      </c>
    </row>
    <row r="120" spans="2:9" s="45" customFormat="1" x14ac:dyDescent="0.25">
      <c r="B120" s="133"/>
      <c r="C120" s="518" t="s">
        <v>259</v>
      </c>
      <c r="D120" s="189" t="s">
        <v>119</v>
      </c>
      <c r="E120" s="236">
        <f>E106-E117</f>
        <v>0</v>
      </c>
    </row>
    <row r="121" spans="2:9" s="45" customFormat="1" ht="30" x14ac:dyDescent="0.25">
      <c r="B121" s="133"/>
      <c r="C121" s="518"/>
      <c r="D121" s="189" t="s">
        <v>239</v>
      </c>
      <c r="E121" s="236">
        <f>E107-E118</f>
        <v>0</v>
      </c>
    </row>
    <row r="122" spans="2:9" s="45" customFormat="1" ht="30.75" thickBot="1" x14ac:dyDescent="0.3">
      <c r="B122" s="133"/>
      <c r="C122" s="519"/>
      <c r="D122" s="140" t="s">
        <v>240</v>
      </c>
      <c r="E122" s="202">
        <f>E108-E119</f>
        <v>0</v>
      </c>
    </row>
    <row r="123" spans="2:9" s="45" customFormat="1" ht="15.75" thickBot="1" x14ac:dyDescent="0.3">
      <c r="B123" s="133"/>
      <c r="C123" s="65"/>
      <c r="D123" s="65"/>
      <c r="E123" s="196"/>
    </row>
    <row r="124" spans="2:9" s="45" customFormat="1" ht="21.75" thickBot="1" x14ac:dyDescent="0.3">
      <c r="B124" s="65"/>
      <c r="C124" s="509" t="s">
        <v>172</v>
      </c>
      <c r="D124" s="510"/>
      <c r="E124" s="511"/>
      <c r="F124" s="132"/>
      <c r="G124" s="132"/>
      <c r="H124" s="132"/>
      <c r="I124" s="132"/>
    </row>
    <row r="125" spans="2:9" s="45" customFormat="1" x14ac:dyDescent="0.25">
      <c r="B125" s="65"/>
      <c r="C125" s="197" t="s">
        <v>140</v>
      </c>
      <c r="D125" s="198"/>
      <c r="E125" s="199" t="b">
        <f>OR(MAX('Társas vállalkozó'!D62-'Társas vállalkozó'!D64,0)&lt;Főlap!E13,MAX('Társas vállalkozó'!D62+'Társas vállalkozó'!D56+'Társas vállalkozó'!D59-'Társas vállalkozó'!D42-'Társas vállalkozó'!D38,0)&lt;Főlap!E13)</f>
        <v>0</v>
      </c>
    </row>
    <row r="126" spans="2:9" s="45" customFormat="1" ht="15.75" thickBot="1" x14ac:dyDescent="0.3">
      <c r="B126" s="65"/>
    </row>
    <row r="127" spans="2:9" s="45" customFormat="1" ht="21.75" thickBot="1" x14ac:dyDescent="0.3">
      <c r="B127" s="65"/>
      <c r="C127" s="504" t="s">
        <v>231</v>
      </c>
      <c r="D127" s="505"/>
      <c r="E127" s="505"/>
      <c r="F127" s="505"/>
      <c r="G127" s="505"/>
      <c r="H127" s="505"/>
      <c r="I127" s="506"/>
    </row>
    <row r="128" spans="2:9" s="45" customFormat="1" x14ac:dyDescent="0.25">
      <c r="B128" s="65"/>
      <c r="C128" s="492" t="s">
        <v>234</v>
      </c>
      <c r="D128" s="492"/>
      <c r="E128" s="205" t="b">
        <f>OR(Főlap!E30="",AND(Főlap!E30&gt;0,Főlap!E30&lt;=1))</f>
        <v>1</v>
      </c>
      <c r="F128" s="205" t="b">
        <f>OR(Főlap!F30="",AND(Főlap!F30&gt;0,Főlap!F30&lt;=1))</f>
        <v>1</v>
      </c>
      <c r="G128" s="205" t="b">
        <f>OR(Főlap!G30="",AND(Főlap!G30&gt;0,Főlap!G30&lt;=1))</f>
        <v>1</v>
      </c>
      <c r="H128" s="205" t="b">
        <f>OR(Főlap!H30="",AND(Főlap!H30&gt;0,Főlap!H30&lt;=1))</f>
        <v>1</v>
      </c>
      <c r="I128" s="205" t="b">
        <f>OR(Főlap!I30="",AND(Főlap!I30&gt;0,Főlap!I30&lt;=1))</f>
        <v>1</v>
      </c>
    </row>
    <row r="129" spans="2:9" s="45" customFormat="1" x14ac:dyDescent="0.25">
      <c r="B129" s="65"/>
      <c r="C129" s="493" t="s">
        <v>233</v>
      </c>
      <c r="D129" s="493"/>
      <c r="E129" s="179" t="b">
        <f>(Főlap!E30&lt;1)</f>
        <v>1</v>
      </c>
      <c r="F129" s="179" t="b">
        <f>SUM(Főlap!$E$30:F30)=1</f>
        <v>0</v>
      </c>
      <c r="G129" s="179" t="b">
        <f>SUM(Főlap!$E$30:G30)=1</f>
        <v>0</v>
      </c>
      <c r="H129" s="179" t="b">
        <f>SUM(Főlap!$E$30:H30)=1</f>
        <v>0</v>
      </c>
      <c r="I129" s="179" t="b">
        <f>SUM(Főlap!$E$30:I30)=1</f>
        <v>0</v>
      </c>
    </row>
    <row r="130" spans="2:9" s="45" customFormat="1" x14ac:dyDescent="0.25">
      <c r="B130" s="65"/>
      <c r="C130" s="450" t="s">
        <v>232</v>
      </c>
      <c r="D130" s="450"/>
      <c r="E130" s="179" t="b">
        <f>AND(E128,E129)</f>
        <v>1</v>
      </c>
      <c r="F130" s="179" t="b">
        <f>AND(F128,F129)</f>
        <v>0</v>
      </c>
      <c r="G130" s="179" t="b">
        <f>AND(G128,G129)</f>
        <v>0</v>
      </c>
      <c r="H130" s="179" t="b">
        <f>AND(H128,H129)</f>
        <v>0</v>
      </c>
      <c r="I130" s="179" t="b">
        <f>AND(I128,I129)</f>
        <v>0</v>
      </c>
    </row>
    <row r="131" spans="2:9" s="45" customFormat="1" ht="15.75" thickBot="1" x14ac:dyDescent="0.3">
      <c r="B131" s="65"/>
    </row>
    <row r="132" spans="2:9" s="45" customFormat="1" ht="21.75" thickBot="1" x14ac:dyDescent="0.3">
      <c r="B132" s="65"/>
      <c r="C132" s="504" t="s">
        <v>352</v>
      </c>
      <c r="D132" s="505"/>
      <c r="E132" s="505"/>
      <c r="F132" s="505"/>
      <c r="G132" s="505"/>
      <c r="H132" s="505"/>
      <c r="I132" s="506"/>
    </row>
    <row r="133" spans="2:9" s="45" customFormat="1" ht="15" customHeight="1" x14ac:dyDescent="0.25">
      <c r="B133" s="65"/>
      <c r="C133" s="492" t="s">
        <v>353</v>
      </c>
      <c r="D133" s="492"/>
      <c r="E133" s="205" t="b">
        <f>IF(E30=1,OR(E27="Igen",E24="IGEN",E25="IGEN"),"")</f>
        <v>0</v>
      </c>
      <c r="F133" s="205" t="str">
        <f t="shared" ref="F133:I133" si="10">IF(F30=1,OR(F27="Igen",F24="IGEN",F25="IGEN"),"")</f>
        <v/>
      </c>
      <c r="G133" s="205" t="str">
        <f t="shared" si="10"/>
        <v/>
      </c>
      <c r="H133" s="205" t="str">
        <f t="shared" si="10"/>
        <v/>
      </c>
      <c r="I133" s="205" t="str">
        <f t="shared" si="10"/>
        <v/>
      </c>
    </row>
    <row r="134" spans="2:9" s="45" customFormat="1" x14ac:dyDescent="0.25">
      <c r="B134" s="65"/>
      <c r="C134" s="507" t="s">
        <v>354</v>
      </c>
      <c r="D134" s="508"/>
      <c r="E134" s="242" t="b">
        <f>IF(E30=1,AND(NOT(E133),E28="IGEN"),"")</f>
        <v>0</v>
      </c>
      <c r="F134" s="242" t="str">
        <f t="shared" ref="F134:I134" si="11">IF(F30=1,AND(NOT(F133),F28="IGEN"),"")</f>
        <v/>
      </c>
      <c r="G134" s="242" t="str">
        <f t="shared" si="11"/>
        <v/>
      </c>
      <c r="H134" s="242" t="str">
        <f t="shared" si="11"/>
        <v/>
      </c>
      <c r="I134" s="242" t="str">
        <f t="shared" si="11"/>
        <v/>
      </c>
    </row>
    <row r="135" spans="2:9" s="45" customFormat="1" x14ac:dyDescent="0.25">
      <c r="B135" s="65"/>
    </row>
    <row r="136" spans="2:9" s="45" customFormat="1" x14ac:dyDescent="0.25">
      <c r="B136" s="65"/>
    </row>
    <row r="137" spans="2:9" s="45" customFormat="1" x14ac:dyDescent="0.25">
      <c r="B137" s="65"/>
    </row>
    <row r="138" spans="2:9" s="45" customFormat="1" x14ac:dyDescent="0.25">
      <c r="B138" s="65"/>
    </row>
    <row r="139" spans="2:9" s="45" customFormat="1" x14ac:dyDescent="0.25">
      <c r="B139" s="65"/>
    </row>
    <row r="140" spans="2:9" s="45" customFormat="1" x14ac:dyDescent="0.25">
      <c r="B140" s="65"/>
    </row>
    <row r="141" spans="2:9" s="45" customFormat="1" x14ac:dyDescent="0.25">
      <c r="B141" s="65"/>
    </row>
  </sheetData>
  <mergeCells count="72">
    <mergeCell ref="C132:I132"/>
    <mergeCell ref="C133:D133"/>
    <mergeCell ref="C134:D134"/>
    <mergeCell ref="C88:E88"/>
    <mergeCell ref="C124:E124"/>
    <mergeCell ref="C127:I127"/>
    <mergeCell ref="C92:C96"/>
    <mergeCell ref="C102:C104"/>
    <mergeCell ref="C105:C110"/>
    <mergeCell ref="C117:C119"/>
    <mergeCell ref="C120:C122"/>
    <mergeCell ref="C115:D115"/>
    <mergeCell ref="C116:D116"/>
    <mergeCell ref="C114:D114"/>
    <mergeCell ref="C113:D113"/>
    <mergeCell ref="C97:C101"/>
    <mergeCell ref="C66:C72"/>
    <mergeCell ref="C61:C65"/>
    <mergeCell ref="C128:D128"/>
    <mergeCell ref="C129:D129"/>
    <mergeCell ref="C130:D130"/>
    <mergeCell ref="C76:D76"/>
    <mergeCell ref="C77:D77"/>
    <mergeCell ref="C89:D89"/>
    <mergeCell ref="C90:D90"/>
    <mergeCell ref="C91:D91"/>
    <mergeCell ref="C112:D112"/>
    <mergeCell ref="C111:D111"/>
    <mergeCell ref="C9:D9"/>
    <mergeCell ref="C21:D21"/>
    <mergeCell ref="C10:D10"/>
    <mergeCell ref="C20:D20"/>
    <mergeCell ref="C11:D11"/>
    <mergeCell ref="C18:D18"/>
    <mergeCell ref="C16:D16"/>
    <mergeCell ref="C12:D12"/>
    <mergeCell ref="C13:D13"/>
    <mergeCell ref="C14:D14"/>
    <mergeCell ref="C15:D15"/>
    <mergeCell ref="C3:D3"/>
    <mergeCell ref="C5:D5"/>
    <mergeCell ref="C6:D6"/>
    <mergeCell ref="C7:D7"/>
    <mergeCell ref="C8:D8"/>
    <mergeCell ref="C4:J4"/>
    <mergeCell ref="B55:B60"/>
    <mergeCell ref="C33:D33"/>
    <mergeCell ref="B49:B54"/>
    <mergeCell ref="B37:B42"/>
    <mergeCell ref="B43:B48"/>
    <mergeCell ref="C36:J36"/>
    <mergeCell ref="C35:D35"/>
    <mergeCell ref="C37:C42"/>
    <mergeCell ref="C43:C48"/>
    <mergeCell ref="C49:C54"/>
    <mergeCell ref="C55:C60"/>
    <mergeCell ref="C23:D23"/>
    <mergeCell ref="C19:J19"/>
    <mergeCell ref="C22:D22"/>
    <mergeCell ref="C84:C86"/>
    <mergeCell ref="C81:C83"/>
    <mergeCell ref="C79:D79"/>
    <mergeCell ref="C80:D80"/>
    <mergeCell ref="C78:D78"/>
    <mergeCell ref="D24:D28"/>
    <mergeCell ref="C29:D29"/>
    <mergeCell ref="C32:D32"/>
    <mergeCell ref="C30:D30"/>
    <mergeCell ref="C31:D31"/>
    <mergeCell ref="C73:J73"/>
    <mergeCell ref="C74:D74"/>
    <mergeCell ref="C75:D7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19</vt:i4>
      </vt:variant>
    </vt:vector>
  </HeadingPairs>
  <TitlesOfParts>
    <vt:vector size="24" baseType="lpstr">
      <vt:lpstr>Főlap</vt:lpstr>
      <vt:lpstr>Egyéni vállalkozó</vt:lpstr>
      <vt:lpstr>Társas vállalkozó</vt:lpstr>
      <vt:lpstr>listák, paraméterek</vt:lpstr>
      <vt:lpstr>háttér kalkulátor</vt:lpstr>
      <vt:lpstr>Egészségügyi_szolgáltatási_járulék</vt:lpstr>
      <vt:lpstr>Garantált_bérminimum</vt:lpstr>
      <vt:lpstr>Járulék_munkaerőpiaci</vt:lpstr>
      <vt:lpstr>Járulék_nyugdíj</vt:lpstr>
      <vt:lpstr>Járulék_pénzbeli_eü</vt:lpstr>
      <vt:lpstr>Járulék_természetbeni_eü</vt:lpstr>
      <vt:lpstr>KATA_bevételi_határ</vt:lpstr>
      <vt:lpstr>KATA_emelt</vt:lpstr>
      <vt:lpstr>KATA_főállású</vt:lpstr>
      <vt:lpstr>KATA_HIPA_alap</vt:lpstr>
      <vt:lpstr>KATA_mellékállású</vt:lpstr>
      <vt:lpstr>KATA_százalékos</vt:lpstr>
      <vt:lpstr>KIVA</vt:lpstr>
      <vt:lpstr>Minimálbér</vt:lpstr>
      <vt:lpstr>Szakképzési_hozzájárulás</vt:lpstr>
      <vt:lpstr>Szja</vt:lpstr>
      <vt:lpstr>Szja_vállalkozói</vt:lpstr>
      <vt:lpstr>Szocho</vt:lpstr>
      <vt:lpstr>Tao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2019-09-23T11:06:34Z</dcterms:created>
  <dcterms:modified xsi:type="dcterms:W3CDTF">2019-09-24T14:07:41Z</dcterms:modified>
</cp:coreProperties>
</file>